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ink/ink1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ROBERT\OneDrive\Dokumentumok\Nicepage-MUNKA\Lakasfelujitasunk.hu\lakasfelujitas-pest.hu\EXCELEK\"/>
    </mc:Choice>
  </mc:AlternateContent>
  <xr:revisionPtr revIDLastSave="1" documentId="11_E8FB84A17E6C040E561B68A92B54810B03E4FD03" xr6:coauthVersionLast="36" xr6:coauthVersionMax="36" xr10:uidLastSave="{AD2C3EE4-EA18-4381-9FEC-A96DE9159181}"/>
  <bookViews>
    <workbookView xWindow="0" yWindow="0" windowWidth="22460" windowHeight="13040" tabRatio="614" xr2:uid="{00000000-000D-0000-FFFF-FFFF00000000}"/>
  </bookViews>
  <sheets>
    <sheet name="Összesítés" sheetId="1" r:id="rId1"/>
    <sheet name="Díj" sheetId="2" r:id="rId2"/>
    <sheet name="Anyag" sheetId="3" r:id="rId3"/>
  </sheets>
  <definedNames>
    <definedName name="_xlnm.Print_Area" localSheetId="2">Anyag!$A$1:$F$218</definedName>
    <definedName name="_xlnm.Print_Area" localSheetId="1">Díj!$A$1:$H$197</definedName>
    <definedName name="_xlnm.Print_Area" localSheetId="0">Összesítés!$A$3:$G$32</definedName>
  </definedNames>
  <calcPr calcId="191029"/>
</workbook>
</file>

<file path=xl/calcChain.xml><?xml version="1.0" encoding="utf-8"?>
<calcChain xmlns="http://schemas.openxmlformats.org/spreadsheetml/2006/main">
  <c r="B27" i="1" l="1"/>
  <c r="H146" i="2" l="1"/>
  <c r="F215" i="3"/>
  <c r="F214" i="3"/>
  <c r="F213" i="3"/>
  <c r="F212" i="3" l="1"/>
  <c r="H179" i="2" l="1"/>
  <c r="H121" i="2" l="1"/>
  <c r="H110" i="2"/>
  <c r="E108" i="2" l="1"/>
  <c r="F108" i="2" s="1"/>
  <c r="B113" i="2" l="1"/>
  <c r="F60" i="3" l="1"/>
  <c r="D60" i="3"/>
  <c r="H175" i="2"/>
  <c r="E113" i="2"/>
  <c r="F113" i="2" s="1"/>
  <c r="G42" i="2"/>
  <c r="G192" i="2"/>
  <c r="M173" i="2" l="1"/>
  <c r="M176" i="2" s="1"/>
  <c r="H111" i="2" l="1"/>
  <c r="E111" i="2"/>
  <c r="F111" i="2" s="1"/>
  <c r="G203" i="2"/>
  <c r="E110" i="2"/>
  <c r="F110" i="2" s="1"/>
  <c r="H94" i="2" l="1"/>
  <c r="H93" i="2"/>
  <c r="G66" i="2" l="1"/>
  <c r="G107" i="2"/>
  <c r="H194" i="2" l="1"/>
  <c r="D83" i="3" l="1"/>
  <c r="E83" i="3"/>
  <c r="F83" i="3" s="1"/>
  <c r="G88" i="2"/>
  <c r="H114" i="2" l="1"/>
  <c r="F73" i="3"/>
  <c r="J71" i="3"/>
  <c r="F221" i="3"/>
  <c r="D227" i="3"/>
  <c r="G199" i="2" l="1"/>
  <c r="H199" i="2" s="1"/>
  <c r="G61" i="2" l="1"/>
  <c r="H61" i="2" s="1"/>
  <c r="E61" i="2"/>
  <c r="F61" i="2" s="1"/>
  <c r="G59" i="2"/>
  <c r="H59" i="2" s="1"/>
  <c r="E231" i="3"/>
  <c r="E208" i="3"/>
  <c r="F208" i="3" s="1"/>
  <c r="D207" i="3"/>
  <c r="C114" i="2"/>
  <c r="E114" i="2" s="1"/>
  <c r="F114" i="2" s="1"/>
  <c r="C57" i="2"/>
  <c r="G57" i="2" s="1"/>
  <c r="H57" i="2" s="1"/>
  <c r="H192" i="2"/>
  <c r="F128" i="3"/>
  <c r="G69" i="2"/>
  <c r="H69" i="2" s="1"/>
  <c r="E69" i="2"/>
  <c r="F69" i="2" s="1"/>
  <c r="F76" i="3"/>
  <c r="L74" i="3"/>
  <c r="M74" i="3" s="1"/>
  <c r="N74" i="3" s="1"/>
  <c r="E74" i="3" s="1"/>
  <c r="F74" i="3" s="1"/>
  <c r="B126" i="2"/>
  <c r="B127" i="2"/>
  <c r="B118" i="2"/>
  <c r="B116" i="2"/>
  <c r="B115" i="2"/>
  <c r="B112" i="2" s="1"/>
  <c r="B107" i="2"/>
  <c r="H107" i="2" s="1"/>
  <c r="F105" i="3"/>
  <c r="E82" i="3"/>
  <c r="F82" i="3" s="1"/>
  <c r="D82" i="3"/>
  <c r="E14" i="3"/>
  <c r="E6" i="1" s="1"/>
  <c r="H164" i="2"/>
  <c r="G148" i="2"/>
  <c r="H148" i="2" s="1"/>
  <c r="G68" i="2"/>
  <c r="H68" i="2" s="1"/>
  <c r="G67" i="2"/>
  <c r="G52" i="2"/>
  <c r="H52" i="2" s="1"/>
  <c r="E52" i="2"/>
  <c r="F52" i="2" s="1"/>
  <c r="H14" i="2"/>
  <c r="H9" i="2" s="1"/>
  <c r="C5" i="1" s="1"/>
  <c r="G15" i="2"/>
  <c r="B2" i="1"/>
  <c r="C200" i="2"/>
  <c r="E200" i="2" s="1"/>
  <c r="F200" i="2" s="1"/>
  <c r="E192" i="2"/>
  <c r="F192" i="2" s="1"/>
  <c r="E222" i="3"/>
  <c r="F222" i="3" s="1"/>
  <c r="E226" i="3"/>
  <c r="F226" i="3" s="1"/>
  <c r="E111" i="3"/>
  <c r="F111" i="3" s="1"/>
  <c r="H113" i="3"/>
  <c r="E116" i="3"/>
  <c r="F116" i="3" s="1"/>
  <c r="C101" i="3"/>
  <c r="E101" i="3" s="1"/>
  <c r="F101" i="3" s="1"/>
  <c r="E103" i="3"/>
  <c r="F103" i="3" s="1"/>
  <c r="F100" i="3"/>
  <c r="J103" i="3"/>
  <c r="L103" i="3" s="1"/>
  <c r="M103" i="3" s="1"/>
  <c r="N103" i="3" s="1"/>
  <c r="J100" i="3"/>
  <c r="L100" i="3" s="1"/>
  <c r="M100" i="3" s="1"/>
  <c r="N100" i="3" s="1"/>
  <c r="E68" i="2"/>
  <c r="F68" i="2" s="1"/>
  <c r="D81" i="3"/>
  <c r="E81" i="3"/>
  <c r="F81" i="3" s="1"/>
  <c r="C80" i="3"/>
  <c r="D80" i="3" s="1"/>
  <c r="E84" i="3"/>
  <c r="E85" i="3"/>
  <c r="E86" i="3"/>
  <c r="C79" i="3"/>
  <c r="D79" i="3" s="1"/>
  <c r="E77" i="3"/>
  <c r="F77" i="3" s="1"/>
  <c r="J58" i="3"/>
  <c r="L58" i="3" s="1"/>
  <c r="M58" i="3" s="1"/>
  <c r="N58" i="3" s="1"/>
  <c r="F75" i="3"/>
  <c r="G53" i="2"/>
  <c r="H53" i="2" s="1"/>
  <c r="E53" i="2"/>
  <c r="F53" i="2" s="1"/>
  <c r="E71" i="3"/>
  <c r="F71" i="3" s="1"/>
  <c r="E59" i="3"/>
  <c r="E52" i="3"/>
  <c r="F52" i="3" s="1"/>
  <c r="E36" i="3"/>
  <c r="E34" i="3"/>
  <c r="F34" i="3" s="1"/>
  <c r="E92" i="2"/>
  <c r="F92" i="2" s="1"/>
  <c r="E66" i="2"/>
  <c r="F66" i="2" s="1"/>
  <c r="H145" i="2"/>
  <c r="H144" i="2"/>
  <c r="E145" i="2"/>
  <c r="F145" i="2" s="1"/>
  <c r="E146" i="2"/>
  <c r="F146" i="2" s="1"/>
  <c r="G149" i="2"/>
  <c r="H149" i="2" s="1"/>
  <c r="C119" i="2"/>
  <c r="E119" i="2" s="1"/>
  <c r="F119" i="2" s="1"/>
  <c r="G65" i="2"/>
  <c r="H65" i="2" s="1"/>
  <c r="E65" i="2"/>
  <c r="F65" i="2" s="1"/>
  <c r="G92" i="2"/>
  <c r="H92" i="2" s="1"/>
  <c r="C91" i="2"/>
  <c r="G90" i="2"/>
  <c r="H90" i="2" s="1"/>
  <c r="E90" i="2"/>
  <c r="F90" i="2" s="1"/>
  <c r="E89" i="2"/>
  <c r="F89" i="2" s="1"/>
  <c r="E86" i="2"/>
  <c r="F86" i="2" s="1"/>
  <c r="E87" i="2"/>
  <c r="F87" i="2" s="1"/>
  <c r="E88" i="2"/>
  <c r="F88" i="2" s="1"/>
  <c r="G89" i="2"/>
  <c r="H89" i="2" s="1"/>
  <c r="H86" i="2"/>
  <c r="G87" i="2"/>
  <c r="H88" i="2"/>
  <c r="E64" i="2"/>
  <c r="F64" i="2" s="1"/>
  <c r="H64" i="2"/>
  <c r="E62" i="2"/>
  <c r="F62" i="2" s="1"/>
  <c r="G43" i="2"/>
  <c r="G46" i="2"/>
  <c r="H46" i="2" s="1"/>
  <c r="G47" i="2"/>
  <c r="H47" i="2" s="1"/>
  <c r="G48" i="2"/>
  <c r="H48" i="2" s="1"/>
  <c r="G21" i="2"/>
  <c r="H21" i="2" s="1"/>
  <c r="H20" i="2" s="1"/>
  <c r="C6" i="1" s="1"/>
  <c r="H66" i="2"/>
  <c r="H166" i="2"/>
  <c r="G12" i="2"/>
  <c r="G11" i="2"/>
  <c r="F207" i="3"/>
  <c r="E206" i="3"/>
  <c r="F206" i="3" s="1"/>
  <c r="F209" i="3"/>
  <c r="F210" i="3"/>
  <c r="F211" i="3"/>
  <c r="H216" i="3"/>
  <c r="J193" i="2"/>
  <c r="J196" i="2"/>
  <c r="H203" i="2"/>
  <c r="G171" i="2"/>
  <c r="H171" i="2" s="1"/>
  <c r="H176" i="2"/>
  <c r="H177" i="2"/>
  <c r="H178" i="2"/>
  <c r="H180" i="2"/>
  <c r="G181" i="2"/>
  <c r="J181" i="2" s="1"/>
  <c r="G182" i="2"/>
  <c r="J182" i="2" s="1"/>
  <c r="G183" i="2"/>
  <c r="H140" i="2"/>
  <c r="J141" i="2"/>
  <c r="G55" i="2"/>
  <c r="H55" i="2" s="1"/>
  <c r="G51" i="2"/>
  <c r="H51" i="2" s="1"/>
  <c r="J16" i="2"/>
  <c r="E183" i="2"/>
  <c r="F183" i="2" s="1"/>
  <c r="E182" i="2"/>
  <c r="F182" i="2" s="1"/>
  <c r="E149" i="2"/>
  <c r="F149" i="2" s="1"/>
  <c r="H173" i="2"/>
  <c r="E46" i="2"/>
  <c r="F46" i="2" s="1"/>
  <c r="D116" i="3"/>
  <c r="E48" i="2"/>
  <c r="F48" i="2" s="1"/>
  <c r="E60" i="2"/>
  <c r="F60" i="2" s="1"/>
  <c r="G60" i="2"/>
  <c r="H60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28" i="2"/>
  <c r="E29" i="2"/>
  <c r="F29" i="2" s="1"/>
  <c r="G33" i="2"/>
  <c r="J33" i="2" s="1"/>
  <c r="H71" i="2"/>
  <c r="C10" i="1" s="1"/>
  <c r="G153" i="2"/>
  <c r="H153" i="2" s="1"/>
  <c r="H151" i="2" s="1"/>
  <c r="C15" i="1" s="1"/>
  <c r="H158" i="2"/>
  <c r="H159" i="2"/>
  <c r="J167" i="2"/>
  <c r="G184" i="2"/>
  <c r="J184" i="2" s="1"/>
  <c r="G185" i="2"/>
  <c r="J185" i="2" s="1"/>
  <c r="G186" i="2"/>
  <c r="J186" i="2" s="1"/>
  <c r="G187" i="2"/>
  <c r="J187" i="2" s="1"/>
  <c r="D9" i="3"/>
  <c r="F9" i="3" s="1"/>
  <c r="D10" i="3"/>
  <c r="F10" i="3" s="1"/>
  <c r="D11" i="3"/>
  <c r="F11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D23" i="3"/>
  <c r="F23" i="3" s="1"/>
  <c r="D24" i="3"/>
  <c r="F24" i="3" s="1"/>
  <c r="D25" i="3"/>
  <c r="F25" i="3" s="1"/>
  <c r="D26" i="3"/>
  <c r="F26" i="3" s="1"/>
  <c r="D27" i="3"/>
  <c r="F27" i="3" s="1"/>
  <c r="D28" i="3"/>
  <c r="F28" i="3" s="1"/>
  <c r="D29" i="3"/>
  <c r="F29" i="3" s="1"/>
  <c r="F44" i="3"/>
  <c r="F45" i="3"/>
  <c r="F46" i="3"/>
  <c r="E88" i="3"/>
  <c r="E10" i="1" s="1"/>
  <c r="D133" i="3"/>
  <c r="F133" i="3" s="1"/>
  <c r="D134" i="3"/>
  <c r="F134" i="3" s="1"/>
  <c r="D135" i="3"/>
  <c r="F135" i="3" s="1"/>
  <c r="D136" i="3"/>
  <c r="F136" i="3" s="1"/>
  <c r="D137" i="3"/>
  <c r="F137" i="3" s="1"/>
  <c r="D138" i="3"/>
  <c r="F138" i="3" s="1"/>
  <c r="D139" i="3"/>
  <c r="F139" i="3" s="1"/>
  <c r="D140" i="3"/>
  <c r="F140" i="3" s="1"/>
  <c r="D141" i="3"/>
  <c r="F141" i="3" s="1"/>
  <c r="D142" i="3"/>
  <c r="F142" i="3" s="1"/>
  <c r="D146" i="3"/>
  <c r="F146" i="3" s="1"/>
  <c r="D147" i="3"/>
  <c r="F147" i="3" s="1"/>
  <c r="D148" i="3"/>
  <c r="F148" i="3" s="1"/>
  <c r="D149" i="3"/>
  <c r="F149" i="3" s="1"/>
  <c r="D150" i="3"/>
  <c r="F150" i="3" s="1"/>
  <c r="D151" i="3"/>
  <c r="F151" i="3" s="1"/>
  <c r="D152" i="3"/>
  <c r="F152" i="3" s="1"/>
  <c r="D153" i="3"/>
  <c r="F153" i="3" s="1"/>
  <c r="D154" i="3"/>
  <c r="F154" i="3" s="1"/>
  <c r="D155" i="3"/>
  <c r="F155" i="3" s="1"/>
  <c r="D156" i="3"/>
  <c r="F156" i="3" s="1"/>
  <c r="D157" i="3"/>
  <c r="F157" i="3" s="1"/>
  <c r="D158" i="3"/>
  <c r="F158" i="3" s="1"/>
  <c r="D159" i="3"/>
  <c r="F159" i="3" s="1"/>
  <c r="D160" i="3"/>
  <c r="F160" i="3" s="1"/>
  <c r="E163" i="3"/>
  <c r="E15" i="1" s="1"/>
  <c r="D175" i="3"/>
  <c r="F175" i="3" s="1"/>
  <c r="D176" i="3"/>
  <c r="F176" i="3" s="1"/>
  <c r="D177" i="3"/>
  <c r="F177" i="3" s="1"/>
  <c r="D178" i="3"/>
  <c r="F178" i="3" s="1"/>
  <c r="D179" i="3"/>
  <c r="F179" i="3" s="1"/>
  <c r="D180" i="3"/>
  <c r="F180" i="3" s="1"/>
  <c r="D181" i="3"/>
  <c r="F181" i="3" s="1"/>
  <c r="D182" i="3"/>
  <c r="F182" i="3" s="1"/>
  <c r="D183" i="3"/>
  <c r="F183" i="3" s="1"/>
  <c r="D184" i="3"/>
  <c r="F184" i="3" s="1"/>
  <c r="D185" i="3"/>
  <c r="F185" i="3" s="1"/>
  <c r="H190" i="3"/>
  <c r="D191" i="3"/>
  <c r="F191" i="3" s="1"/>
  <c r="D192" i="3"/>
  <c r="F192" i="3" s="1"/>
  <c r="D193" i="3"/>
  <c r="F193" i="3" s="1"/>
  <c r="D194" i="3"/>
  <c r="F194" i="3" s="1"/>
  <c r="D195" i="3"/>
  <c r="F195" i="3" s="1"/>
  <c r="D196" i="3"/>
  <c r="F196" i="3" s="1"/>
  <c r="D197" i="3"/>
  <c r="F197" i="3" s="1"/>
  <c r="D198" i="3"/>
  <c r="F198" i="3" s="1"/>
  <c r="D199" i="3"/>
  <c r="F199" i="3" s="1"/>
  <c r="D200" i="3"/>
  <c r="F200" i="3" s="1"/>
  <c r="D201" i="3"/>
  <c r="F201" i="3" s="1"/>
  <c r="D202" i="3"/>
  <c r="F202" i="3" s="1"/>
  <c r="D203" i="3"/>
  <c r="F203" i="3" s="1"/>
  <c r="D15" i="3"/>
  <c r="D16" i="3"/>
  <c r="D17" i="3"/>
  <c r="D18" i="3"/>
  <c r="D19" i="3"/>
  <c r="D20" i="3"/>
  <c r="D21" i="3"/>
  <c r="D22" i="3"/>
  <c r="E171" i="2"/>
  <c r="F171" i="2" s="1"/>
  <c r="E172" i="2"/>
  <c r="E173" i="2"/>
  <c r="F173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93" i="2"/>
  <c r="F193" i="2" s="1"/>
  <c r="E194" i="2"/>
  <c r="F194" i="2" s="1"/>
  <c r="E195" i="2"/>
  <c r="F195" i="2" s="1"/>
  <c r="E196" i="2"/>
  <c r="F196" i="2" s="1"/>
  <c r="E197" i="2"/>
  <c r="F197" i="2" s="1"/>
  <c r="E198" i="2"/>
  <c r="F198" i="2" s="1"/>
  <c r="E199" i="2"/>
  <c r="F199" i="2" s="1"/>
  <c r="E201" i="2"/>
  <c r="F201" i="2" s="1"/>
  <c r="E202" i="2"/>
  <c r="F202" i="2" s="1"/>
  <c r="D50" i="3"/>
  <c r="D51" i="3"/>
  <c r="D52" i="3"/>
  <c r="D53" i="3"/>
  <c r="D54" i="3"/>
  <c r="D55" i="3"/>
  <c r="D56" i="3"/>
  <c r="D57" i="3"/>
  <c r="D58" i="3"/>
  <c r="D59" i="3"/>
  <c r="F220" i="3"/>
  <c r="D220" i="3"/>
  <c r="D206" i="3"/>
  <c r="E140" i="2"/>
  <c r="F140" i="2" s="1"/>
  <c r="G41" i="2"/>
  <c r="H41" i="2" s="1"/>
  <c r="K13" i="2"/>
  <c r="M13" i="2" s="1"/>
  <c r="G147" i="2"/>
  <c r="H147" i="2" s="1"/>
  <c r="C80" i="2"/>
  <c r="G80" i="2" s="1"/>
  <c r="J80" i="2" s="1"/>
  <c r="C74" i="2"/>
  <c r="C75" i="2" s="1"/>
  <c r="C73" i="2"/>
  <c r="G73" i="2" s="1"/>
  <c r="J73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21" i="2"/>
  <c r="F21" i="2" s="1"/>
  <c r="E22" i="2"/>
  <c r="F22" i="2" s="1"/>
  <c r="E23" i="2"/>
  <c r="F23" i="2" s="1"/>
  <c r="E24" i="2"/>
  <c r="F24" i="2" s="1"/>
  <c r="E25" i="2"/>
  <c r="F25" i="2" s="1"/>
  <c r="E41" i="2"/>
  <c r="F41" i="2" s="1"/>
  <c r="E42" i="2"/>
  <c r="F42" i="2" s="1"/>
  <c r="E43" i="2"/>
  <c r="F43" i="2" s="1"/>
  <c r="E44" i="2"/>
  <c r="F44" i="2" s="1"/>
  <c r="E45" i="2"/>
  <c r="F45" i="2" s="1"/>
  <c r="E47" i="2"/>
  <c r="F47" i="2" s="1"/>
  <c r="E51" i="2"/>
  <c r="F51" i="2" s="1"/>
  <c r="E54" i="2"/>
  <c r="F54" i="2" s="1"/>
  <c r="E55" i="2"/>
  <c r="E56" i="2"/>
  <c r="F56" i="2" s="1"/>
  <c r="E58" i="2"/>
  <c r="F58" i="2" s="1"/>
  <c r="E59" i="2"/>
  <c r="F59" i="2" s="1"/>
  <c r="E63" i="2"/>
  <c r="F63" i="2" s="1"/>
  <c r="E67" i="2"/>
  <c r="F67" i="2" s="1"/>
  <c r="E72" i="2"/>
  <c r="F72" i="2" s="1"/>
  <c r="E76" i="2"/>
  <c r="F76" i="2" s="1"/>
  <c r="E77" i="2"/>
  <c r="F77" i="2" s="1"/>
  <c r="E78" i="2"/>
  <c r="F78" i="2" s="1"/>
  <c r="E79" i="2"/>
  <c r="F79" i="2" s="1"/>
  <c r="C82" i="2"/>
  <c r="G82" i="2" s="1"/>
  <c r="J82" i="2" s="1"/>
  <c r="E120" i="2"/>
  <c r="F120" i="2" s="1"/>
  <c r="E121" i="2"/>
  <c r="F121" i="2" s="1"/>
  <c r="E136" i="2"/>
  <c r="F136" i="2" s="1"/>
  <c r="E137" i="2"/>
  <c r="F137" i="2" s="1"/>
  <c r="E138" i="2"/>
  <c r="F138" i="2" s="1"/>
  <c r="E139" i="2"/>
  <c r="F139" i="2" s="1"/>
  <c r="E144" i="2"/>
  <c r="F144" i="2" s="1"/>
  <c r="E147" i="2"/>
  <c r="F147" i="2" s="1"/>
  <c r="E148" i="2"/>
  <c r="F148" i="2" s="1"/>
  <c r="E152" i="2"/>
  <c r="F152" i="2" s="1"/>
  <c r="E153" i="2"/>
  <c r="F153" i="2" s="1"/>
  <c r="E156" i="2"/>
  <c r="F156" i="2" s="1"/>
  <c r="E157" i="2"/>
  <c r="F157" i="2" s="1"/>
  <c r="E158" i="2"/>
  <c r="F158" i="2" s="1"/>
  <c r="E159" i="2"/>
  <c r="F159" i="2" s="1"/>
  <c r="E165" i="2"/>
  <c r="F165" i="2" s="1"/>
  <c r="E166" i="2"/>
  <c r="F166" i="2" s="1"/>
  <c r="E167" i="2"/>
  <c r="F167" i="2" s="1"/>
  <c r="D33" i="3"/>
  <c r="D34" i="3"/>
  <c r="D35" i="3"/>
  <c r="D36" i="3"/>
  <c r="D37" i="3"/>
  <c r="D38" i="3"/>
  <c r="D39" i="3"/>
  <c r="D40" i="3"/>
  <c r="D41" i="3"/>
  <c r="D42" i="3"/>
  <c r="D43" i="3"/>
  <c r="D71" i="3"/>
  <c r="K94" i="3"/>
  <c r="B89" i="3" s="1"/>
  <c r="K93" i="3"/>
  <c r="B90" i="3" s="1"/>
  <c r="D90" i="3" s="1"/>
  <c r="D91" i="3"/>
  <c r="D92" i="3"/>
  <c r="D93" i="3"/>
  <c r="D100" i="3"/>
  <c r="D103" i="3"/>
  <c r="D104" i="3"/>
  <c r="D105" i="3"/>
  <c r="D106" i="3"/>
  <c r="D111" i="3"/>
  <c r="D113" i="3"/>
  <c r="D114" i="3"/>
  <c r="D115" i="3"/>
  <c r="D128" i="3"/>
  <c r="D129" i="3"/>
  <c r="D130" i="3"/>
  <c r="D131" i="3"/>
  <c r="D132" i="3"/>
  <c r="D164" i="3"/>
  <c r="D165" i="3"/>
  <c r="D166" i="3"/>
  <c r="D167" i="3"/>
  <c r="D171" i="3"/>
  <c r="D190" i="3"/>
  <c r="D221" i="3"/>
  <c r="D222" i="3"/>
  <c r="D223" i="3"/>
  <c r="D224" i="3"/>
  <c r="D225" i="3"/>
  <c r="D226" i="3"/>
  <c r="D228" i="3"/>
  <c r="D229" i="3"/>
  <c r="D230" i="3"/>
  <c r="D232" i="3"/>
  <c r="D233" i="3"/>
  <c r="D234" i="3"/>
  <c r="C81" i="2"/>
  <c r="E81" i="2" s="1"/>
  <c r="F81" i="2" s="1"/>
  <c r="K96" i="3"/>
  <c r="E96" i="3"/>
  <c r="H96" i="3" s="1"/>
  <c r="D96" i="3"/>
  <c r="K95" i="3"/>
  <c r="D95" i="3"/>
  <c r="E95" i="3"/>
  <c r="H95" i="3" s="1"/>
  <c r="K90" i="3"/>
  <c r="K91" i="3"/>
  <c r="K92" i="3"/>
  <c r="K89" i="3"/>
  <c r="K10" i="2"/>
  <c r="M10" i="2" s="1"/>
  <c r="N10" i="2" s="1"/>
  <c r="O10" i="2" s="1"/>
  <c r="P11" i="2" s="1"/>
  <c r="K29" i="2"/>
  <c r="M29" i="2" s="1"/>
  <c r="K16" i="2"/>
  <c r="M16" i="2" s="1"/>
  <c r="G136" i="2"/>
  <c r="J136" i="2" s="1"/>
  <c r="G137" i="2"/>
  <c r="J137" i="2" s="1"/>
  <c r="G138" i="2"/>
  <c r="J138" i="2" s="1"/>
  <c r="E92" i="3"/>
  <c r="H92" i="3" s="1"/>
  <c r="G78" i="2"/>
  <c r="J78" i="2" s="1"/>
  <c r="A3" i="1"/>
  <c r="E90" i="3"/>
  <c r="G79" i="2"/>
  <c r="J79" i="2" s="1"/>
  <c r="G77" i="2"/>
  <c r="J77" i="2" s="1"/>
  <c r="G76" i="2"/>
  <c r="J76" i="2" s="1"/>
  <c r="G17" i="2"/>
  <c r="L71" i="3"/>
  <c r="M71" i="3" s="1"/>
  <c r="N71" i="3" s="1"/>
  <c r="G24" i="2"/>
  <c r="J24" i="2" s="1"/>
  <c r="E159" i="3"/>
  <c r="E160" i="3"/>
  <c r="D161" i="3"/>
  <c r="F161" i="3" s="1"/>
  <c r="E161" i="3"/>
  <c r="E15" i="3"/>
  <c r="H15" i="3" s="1"/>
  <c r="E168" i="3"/>
  <c r="H168" i="3" s="1"/>
  <c r="H118" i="3"/>
  <c r="H119" i="3"/>
  <c r="H120" i="3"/>
  <c r="H121" i="3"/>
  <c r="H122" i="3"/>
  <c r="H123" i="3"/>
  <c r="H124" i="3"/>
  <c r="H117" i="3"/>
  <c r="F114" i="3"/>
  <c r="E106" i="3"/>
  <c r="H106" i="3" s="1"/>
  <c r="E158" i="3"/>
  <c r="E157" i="3"/>
  <c r="F59" i="3"/>
  <c r="K15" i="2"/>
  <c r="K12" i="2"/>
  <c r="H109" i="2"/>
  <c r="G132" i="2"/>
  <c r="J132" i="2" s="1"/>
  <c r="E132" i="2"/>
  <c r="F132" i="2" s="1"/>
  <c r="E131" i="2"/>
  <c r="F131" i="2" s="1"/>
  <c r="G130" i="2"/>
  <c r="E130" i="2"/>
  <c r="F130" i="2" s="1"/>
  <c r="H42" i="2"/>
  <c r="H172" i="3"/>
  <c r="H165" i="3"/>
  <c r="H166" i="3"/>
  <c r="H167" i="3"/>
  <c r="F112" i="3"/>
  <c r="F109" i="3"/>
  <c r="F110" i="3"/>
  <c r="H44" i="3"/>
  <c r="H45" i="3"/>
  <c r="H46" i="3"/>
  <c r="H47" i="3"/>
  <c r="E132" i="3"/>
  <c r="E133" i="3"/>
  <c r="E134" i="3"/>
  <c r="E135" i="3"/>
  <c r="E136" i="3"/>
  <c r="E137" i="3"/>
  <c r="E138" i="3"/>
  <c r="E139" i="3"/>
  <c r="E140" i="3"/>
  <c r="E141" i="3"/>
  <c r="E142" i="3"/>
  <c r="H120" i="2"/>
  <c r="L78" i="3"/>
  <c r="M78" i="3" s="1"/>
  <c r="N78" i="3" s="1"/>
  <c r="O78" i="3" s="1"/>
  <c r="J73" i="3"/>
  <c r="J70" i="3"/>
  <c r="F168" i="2"/>
  <c r="G157" i="2"/>
  <c r="J157" i="2" s="1"/>
  <c r="D168" i="3"/>
  <c r="G32" i="2"/>
  <c r="H32" i="2" s="1"/>
  <c r="G34" i="2"/>
  <c r="J34" i="2" s="1"/>
  <c r="G35" i="2"/>
  <c r="J35" i="2" s="1"/>
  <c r="G36" i="2"/>
  <c r="J36" i="2" s="1"/>
  <c r="G37" i="2"/>
  <c r="J37" i="2" s="1"/>
  <c r="G38" i="2"/>
  <c r="J38" i="2" s="1"/>
  <c r="B3" i="1"/>
  <c r="G197" i="2"/>
  <c r="J197" i="2" s="1"/>
  <c r="G152" i="2"/>
  <c r="J152" i="2" s="1"/>
  <c r="E235" i="3"/>
  <c r="E234" i="3"/>
  <c r="E233" i="3"/>
  <c r="E232" i="3"/>
  <c r="E229" i="3"/>
  <c r="H229" i="3" s="1"/>
  <c r="E228" i="3"/>
  <c r="H228" i="3" s="1"/>
  <c r="E171" i="3"/>
  <c r="H171" i="3" s="1"/>
  <c r="E164" i="3"/>
  <c r="H164" i="3" s="1"/>
  <c r="E156" i="3"/>
  <c r="E155" i="3"/>
  <c r="E154" i="3"/>
  <c r="E153" i="3"/>
  <c r="E152" i="3"/>
  <c r="E151" i="3"/>
  <c r="E150" i="3"/>
  <c r="E149" i="3"/>
  <c r="E148" i="3"/>
  <c r="E147" i="3"/>
  <c r="E146" i="3"/>
  <c r="E131" i="3"/>
  <c r="E130" i="3"/>
  <c r="E58" i="3"/>
  <c r="F58" i="3" s="1"/>
  <c r="F57" i="3"/>
  <c r="E56" i="3"/>
  <c r="F56" i="3" s="1"/>
  <c r="E55" i="3"/>
  <c r="F55" i="3" s="1"/>
  <c r="E54" i="3"/>
  <c r="F54" i="3" s="1"/>
  <c r="E53" i="3"/>
  <c r="F53" i="3" s="1"/>
  <c r="E51" i="3"/>
  <c r="F51" i="3" s="1"/>
  <c r="E50" i="3"/>
  <c r="F50" i="3" s="1"/>
  <c r="E43" i="3"/>
  <c r="F43" i="3" s="1"/>
  <c r="H42" i="3"/>
  <c r="E41" i="3"/>
  <c r="F41" i="3" s="1"/>
  <c r="E40" i="3"/>
  <c r="H40" i="3" s="1"/>
  <c r="E39" i="3"/>
  <c r="F39" i="3" s="1"/>
  <c r="E38" i="3"/>
  <c r="F38" i="3" s="1"/>
  <c r="E37" i="3"/>
  <c r="F37" i="3" s="1"/>
  <c r="F35" i="3"/>
  <c r="F33" i="3"/>
  <c r="E29" i="3"/>
  <c r="E28" i="3"/>
  <c r="E27" i="3"/>
  <c r="E26" i="3"/>
  <c r="E25" i="3"/>
  <c r="E24" i="3"/>
  <c r="E23" i="3"/>
  <c r="G25" i="2"/>
  <c r="J25" i="2" s="1"/>
  <c r="G23" i="2"/>
  <c r="J23" i="2" s="1"/>
  <c r="G22" i="2"/>
  <c r="J22" i="2" s="1"/>
  <c r="G31" i="2"/>
  <c r="H31" i="2" s="1"/>
  <c r="G30" i="2"/>
  <c r="H30" i="2" s="1"/>
  <c r="H28" i="2"/>
  <c r="H45" i="2"/>
  <c r="H43" i="2"/>
  <c r="J44" i="2"/>
  <c r="H67" i="2"/>
  <c r="G56" i="2"/>
  <c r="H56" i="2" s="1"/>
  <c r="G58" i="2"/>
  <c r="H58" i="2" s="1"/>
  <c r="H62" i="2"/>
  <c r="G139" i="2"/>
  <c r="J139" i="2" s="1"/>
  <c r="G156" i="2"/>
  <c r="J156" i="2" s="1"/>
  <c r="G165" i="2"/>
  <c r="J165" i="2" s="1"/>
  <c r="G189" i="2"/>
  <c r="J189" i="2" s="1"/>
  <c r="G188" i="2"/>
  <c r="J188" i="2" s="1"/>
  <c r="G205" i="2"/>
  <c r="J205" i="2" s="1"/>
  <c r="G204" i="2"/>
  <c r="J204" i="2" s="1"/>
  <c r="G202" i="2"/>
  <c r="J202" i="2" s="1"/>
  <c r="G201" i="2"/>
  <c r="J201" i="2" s="1"/>
  <c r="G198" i="2"/>
  <c r="H198" i="2" s="1"/>
  <c r="J195" i="2"/>
  <c r="J168" i="2"/>
  <c r="E203" i="2"/>
  <c r="F203" i="2" s="1"/>
  <c r="E204" i="2"/>
  <c r="F204" i="2" s="1"/>
  <c r="E205" i="2"/>
  <c r="F205" i="2" s="1"/>
  <c r="A2" i="3"/>
  <c r="D61" i="3"/>
  <c r="F61" i="3" s="1"/>
  <c r="D62" i="3"/>
  <c r="F62" i="3" s="1"/>
  <c r="D63" i="3"/>
  <c r="F63" i="3" s="1"/>
  <c r="D64" i="3"/>
  <c r="F64" i="3" s="1"/>
  <c r="D65" i="3"/>
  <c r="F65" i="3" s="1"/>
  <c r="D66" i="3"/>
  <c r="F66" i="3" s="1"/>
  <c r="D67" i="3"/>
  <c r="F67" i="3" s="1"/>
  <c r="D68" i="3"/>
  <c r="F68" i="3" s="1"/>
  <c r="D84" i="3"/>
  <c r="L220" i="3"/>
  <c r="M220" i="3" s="1"/>
  <c r="N220" i="3" s="1"/>
  <c r="O220" i="3" s="1"/>
  <c r="G13" i="2"/>
  <c r="J13" i="2" s="1"/>
  <c r="J10" i="2"/>
  <c r="G72" i="2"/>
  <c r="J72" i="2" s="1"/>
  <c r="H91" i="3"/>
  <c r="D219" i="3"/>
  <c r="E93" i="3"/>
  <c r="H93" i="3" s="1"/>
  <c r="E89" i="3"/>
  <c r="E94" i="3"/>
  <c r="H94" i="3" s="1"/>
  <c r="D94" i="3"/>
  <c r="F72" i="3"/>
  <c r="H54" i="2"/>
  <c r="H135" i="2"/>
  <c r="C13" i="1" s="1"/>
  <c r="H131" i="2"/>
  <c r="H29" i="2"/>
  <c r="D112" i="3"/>
  <c r="D231" i="3"/>
  <c r="F231" i="3"/>
  <c r="D77" i="3"/>
  <c r="F219" i="3"/>
  <c r="D75" i="3"/>
  <c r="J163" i="2"/>
  <c r="H189" i="3"/>
  <c r="D189" i="3"/>
  <c r="H170" i="2" l="1"/>
  <c r="E205" i="3"/>
  <c r="E91" i="2"/>
  <c r="G91" i="2"/>
  <c r="H91" i="2" s="1"/>
  <c r="D188" i="3"/>
  <c r="G119" i="2"/>
  <c r="H119" i="2" s="1"/>
  <c r="E73" i="2"/>
  <c r="F73" i="2" s="1"/>
  <c r="B122" i="2"/>
  <c r="G112" i="2" s="1"/>
  <c r="H112" i="2" s="1"/>
  <c r="A205" i="3"/>
  <c r="D18" i="1" s="1"/>
  <c r="A145" i="3"/>
  <c r="D14" i="1" s="1"/>
  <c r="D205" i="3"/>
  <c r="A127" i="3"/>
  <c r="D13" i="1" s="1"/>
  <c r="A188" i="3"/>
  <c r="D17" i="1" s="1"/>
  <c r="A218" i="3"/>
  <c r="D19" i="1" s="1"/>
  <c r="E49" i="3"/>
  <c r="E8" i="1" s="1"/>
  <c r="H143" i="2"/>
  <c r="C14" i="1" s="1"/>
  <c r="D89" i="3"/>
  <c r="D88" i="3" s="1"/>
  <c r="H89" i="3"/>
  <c r="C18" i="1"/>
  <c r="H87" i="2"/>
  <c r="G113" i="2"/>
  <c r="D170" i="3"/>
  <c r="D49" i="3"/>
  <c r="E127" i="3"/>
  <c r="E13" i="1" s="1"/>
  <c r="A8" i="3"/>
  <c r="D5" i="1" s="1"/>
  <c r="F5" i="1" s="1"/>
  <c r="E145" i="3"/>
  <c r="E14" i="1" s="1"/>
  <c r="E18" i="1"/>
  <c r="A14" i="3"/>
  <c r="D6" i="1" s="1"/>
  <c r="A170" i="3"/>
  <c r="D16" i="1" s="1"/>
  <c r="D218" i="3"/>
  <c r="D163" i="3"/>
  <c r="D32" i="3"/>
  <c r="E218" i="3"/>
  <c r="E19" i="1" s="1"/>
  <c r="P29" i="2"/>
  <c r="N29" i="2"/>
  <c r="O29" i="2" s="1"/>
  <c r="E135" i="2"/>
  <c r="E20" i="2"/>
  <c r="G74" i="2"/>
  <c r="J74" i="2" s="1"/>
  <c r="E155" i="2"/>
  <c r="E57" i="2"/>
  <c r="F57" i="2" s="1"/>
  <c r="F135" i="2"/>
  <c r="A20" i="2"/>
  <c r="B6" i="1" s="1"/>
  <c r="C78" i="3"/>
  <c r="E78" i="3" s="1"/>
  <c r="F78" i="3" s="1"/>
  <c r="E9" i="2"/>
  <c r="E82" i="2"/>
  <c r="F82" i="2" s="1"/>
  <c r="H191" i="2"/>
  <c r="C19" i="1" s="1"/>
  <c r="G81" i="2"/>
  <c r="J81" i="2" s="1"/>
  <c r="N13" i="2"/>
  <c r="O13" i="2" s="1"/>
  <c r="P14" i="2" s="1"/>
  <c r="P13" i="2"/>
  <c r="E32" i="3"/>
  <c r="E7" i="1" s="1"/>
  <c r="H90" i="3"/>
  <c r="H7" i="3" s="1"/>
  <c r="E188" i="3"/>
  <c r="E17" i="1" s="1"/>
  <c r="E170" i="3"/>
  <c r="E16" i="1" s="1"/>
  <c r="E8" i="3"/>
  <c r="E5" i="1" s="1"/>
  <c r="H40" i="2"/>
  <c r="C8" i="1" s="1"/>
  <c r="D14" i="3"/>
  <c r="J12" i="3"/>
  <c r="C83" i="2"/>
  <c r="E83" i="2" s="1"/>
  <c r="F83" i="2" s="1"/>
  <c r="H162" i="2"/>
  <c r="C17" i="1" s="1"/>
  <c r="A163" i="3"/>
  <c r="D15" i="1" s="1"/>
  <c r="A32" i="3"/>
  <c r="D7" i="1" s="1"/>
  <c r="E151" i="2"/>
  <c r="A135" i="2"/>
  <c r="B13" i="1" s="1"/>
  <c r="H50" i="2"/>
  <c r="C9" i="1" s="1"/>
  <c r="E108" i="3"/>
  <c r="E12" i="1" s="1"/>
  <c r="C74" i="3"/>
  <c r="D74" i="3" s="1"/>
  <c r="F155" i="2"/>
  <c r="D127" i="3"/>
  <c r="A155" i="2"/>
  <c r="B16" i="1" s="1"/>
  <c r="J200" i="2"/>
  <c r="F151" i="2"/>
  <c r="A49" i="3"/>
  <c r="D8" i="1" s="1"/>
  <c r="F40" i="2"/>
  <c r="E27" i="2"/>
  <c r="A40" i="2"/>
  <c r="B8" i="1" s="1"/>
  <c r="O74" i="3"/>
  <c r="D145" i="3"/>
  <c r="E40" i="2"/>
  <c r="F143" i="2"/>
  <c r="H155" i="2"/>
  <c r="C16" i="1" s="1"/>
  <c r="A85" i="2"/>
  <c r="B11" i="1" s="1"/>
  <c r="F91" i="2"/>
  <c r="F85" i="2" s="1"/>
  <c r="P16" i="2"/>
  <c r="N16" i="2"/>
  <c r="O16" i="2" s="1"/>
  <c r="P17" i="2" s="1"/>
  <c r="E75" i="2"/>
  <c r="F75" i="2" s="1"/>
  <c r="G75" i="2"/>
  <c r="J75" i="2" s="1"/>
  <c r="A9" i="2"/>
  <c r="B5" i="1" s="1"/>
  <c r="E85" i="2"/>
  <c r="E74" i="2"/>
  <c r="G116" i="2"/>
  <c r="G117" i="2" s="1"/>
  <c r="H117" i="2" s="1"/>
  <c r="F55" i="2"/>
  <c r="E80" i="2"/>
  <c r="F80" i="2" s="1"/>
  <c r="H27" i="2"/>
  <c r="C7" i="1" s="1"/>
  <c r="F28" i="2"/>
  <c r="F27" i="2" s="1"/>
  <c r="A27" i="2" s="1"/>
  <c r="B7" i="1" s="1"/>
  <c r="F9" i="2"/>
  <c r="A143" i="2"/>
  <c r="B14" i="1" s="1"/>
  <c r="G14" i="1" s="1"/>
  <c r="A151" i="2"/>
  <c r="B15" i="1" s="1"/>
  <c r="E143" i="2"/>
  <c r="F191" i="2"/>
  <c r="A170" i="2"/>
  <c r="B18" i="1" s="1"/>
  <c r="F172" i="2"/>
  <c r="F170" i="2" s="1"/>
  <c r="E170" i="2"/>
  <c r="A191" i="2"/>
  <c r="B19" i="1" s="1"/>
  <c r="E191" i="2"/>
  <c r="E79" i="3"/>
  <c r="F79" i="3" s="1"/>
  <c r="E80" i="3"/>
  <c r="F80" i="3" s="1"/>
  <c r="O71" i="3"/>
  <c r="C73" i="3"/>
  <c r="D73" i="3" s="1"/>
  <c r="F6" i="1"/>
  <c r="F15" i="1"/>
  <c r="F10" i="1"/>
  <c r="O58" i="3"/>
  <c r="C72" i="3"/>
  <c r="D72" i="3" s="1"/>
  <c r="C102" i="3"/>
  <c r="O103" i="3"/>
  <c r="C99" i="3"/>
  <c r="O100" i="3"/>
  <c r="D101" i="3"/>
  <c r="G13" i="1" l="1"/>
  <c r="J113" i="3"/>
  <c r="L113" i="3" s="1"/>
  <c r="M113" i="3" s="1"/>
  <c r="N113" i="3" s="1"/>
  <c r="O113" i="3" s="1"/>
  <c r="C107" i="2"/>
  <c r="C117" i="2" s="1"/>
  <c r="E117" i="2" s="1"/>
  <c r="F117" i="2" s="1"/>
  <c r="J110" i="3"/>
  <c r="L110" i="3" s="1"/>
  <c r="M110" i="3" s="1"/>
  <c r="N110" i="3" s="1"/>
  <c r="O110" i="3" s="1"/>
  <c r="F50" i="2"/>
  <c r="H113" i="2"/>
  <c r="G108" i="2"/>
  <c r="H108" i="2" s="1"/>
  <c r="G7" i="1"/>
  <c r="G5" i="1"/>
  <c r="A88" i="3"/>
  <c r="D10" i="1" s="1"/>
  <c r="G18" i="1"/>
  <c r="G19" i="1"/>
  <c r="G16" i="1"/>
  <c r="D78" i="3"/>
  <c r="D70" i="3" s="1"/>
  <c r="H85" i="2"/>
  <c r="C11" i="1" s="1"/>
  <c r="F13" i="1"/>
  <c r="G6" i="1"/>
  <c r="G15" i="1"/>
  <c r="G8" i="1"/>
  <c r="F17" i="1"/>
  <c r="P19" i="2"/>
  <c r="P27" i="2" s="1"/>
  <c r="C163" i="2" s="1"/>
  <c r="E50" i="2"/>
  <c r="A50" i="2" s="1"/>
  <c r="B9" i="1" s="1"/>
  <c r="F7" i="1"/>
  <c r="F16" i="1"/>
  <c r="F14" i="1"/>
  <c r="G83" i="2"/>
  <c r="J83" i="2" s="1"/>
  <c r="J7" i="2" s="1"/>
  <c r="F8" i="1"/>
  <c r="H116" i="2"/>
  <c r="F19" i="1"/>
  <c r="F18" i="1"/>
  <c r="E71" i="2"/>
  <c r="F20" i="2"/>
  <c r="A71" i="2"/>
  <c r="B10" i="1" s="1"/>
  <c r="F74" i="2"/>
  <c r="F71" i="2" s="1"/>
  <c r="E70" i="3"/>
  <c r="E9" i="1" s="1"/>
  <c r="D99" i="3"/>
  <c r="F99" i="3"/>
  <c r="E102" i="3"/>
  <c r="F102" i="3" s="1"/>
  <c r="D102" i="3"/>
  <c r="E107" i="2" l="1"/>
  <c r="C109" i="3"/>
  <c r="D109" i="3" s="1"/>
  <c r="C116" i="2"/>
  <c r="E116" i="2" s="1"/>
  <c r="F116" i="2" s="1"/>
  <c r="C118" i="2"/>
  <c r="C115" i="2"/>
  <c r="E115" i="2" s="1"/>
  <c r="F115" i="2" s="1"/>
  <c r="C109" i="2"/>
  <c r="E109" i="2" s="1"/>
  <c r="F109" i="2" s="1"/>
  <c r="C110" i="3"/>
  <c r="D110" i="3" s="1"/>
  <c r="A70" i="3"/>
  <c r="D9" i="1" s="1"/>
  <c r="G9" i="1" s="1"/>
  <c r="G10" i="1"/>
  <c r="P20" i="2"/>
  <c r="F9" i="1"/>
  <c r="F107" i="2"/>
  <c r="E163" i="2"/>
  <c r="C164" i="2"/>
  <c r="E164" i="2" s="1"/>
  <c r="F164" i="2" s="1"/>
  <c r="E98" i="3"/>
  <c r="E11" i="1" s="1"/>
  <c r="A98" i="3"/>
  <c r="D11" i="1" s="1"/>
  <c r="G11" i="1" s="1"/>
  <c r="D98" i="3"/>
  <c r="E118" i="2" l="1"/>
  <c r="F118" i="2" s="1"/>
  <c r="G118" i="2"/>
  <c r="D108" i="3"/>
  <c r="A106" i="2"/>
  <c r="B12" i="1" s="1"/>
  <c r="F106" i="2"/>
  <c r="E106" i="2"/>
  <c r="A108" i="3"/>
  <c r="D12" i="1" s="1"/>
  <c r="F11" i="1"/>
  <c r="E162" i="2"/>
  <c r="A162" i="2"/>
  <c r="B17" i="1" s="1"/>
  <c r="G17" i="1" s="1"/>
  <c r="F163" i="2"/>
  <c r="F162" i="2" s="1"/>
  <c r="D3" i="3"/>
  <c r="E22" i="1"/>
  <c r="G115" i="2" l="1"/>
  <c r="H115" i="2" s="1"/>
  <c r="H106" i="2" s="1"/>
  <c r="C12" i="1" s="1"/>
  <c r="H118" i="2"/>
  <c r="G12" i="1"/>
  <c r="B3" i="3"/>
  <c r="D22" i="1"/>
  <c r="D21" i="1" s="1"/>
  <c r="B22" i="1"/>
  <c r="B21" i="1" s="1"/>
  <c r="C22" i="1" l="1"/>
  <c r="F22" i="1" s="1"/>
  <c r="E27" i="1" s="1"/>
  <c r="F12" i="1"/>
  <c r="F23" i="1"/>
  <c r="C2" i="1" s="1"/>
  <c r="D2" i="1" s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tc={5D806E29-C068-4C92-AF25-6A87C285BE1F}</author>
  </authors>
  <commentList>
    <comment ref="C59" authorId="0" shapeId="0" xr:uid="{00000000-0006-0000-0100-000001000000}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Konyhában szerintem nem kell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tc={3E46EB7C-4594-49B3-BBB9-8E0A85F28730}</author>
    <author>tc={D47B3258-C2B6-4795-94FA-B777CE860A96}</author>
    <author>tc={94600FF7-D3E3-4A85-9A1B-FE1045750D5F}</author>
    <author>tc={5EE6455E-D21F-4F50-A35C-EB9A78B58A73}</author>
  </authors>
  <commentList>
    <comment ref="C15" authorId="0" shapeId="0" xr:uid="{00000000-0006-0000-0200-000001000000}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Nem biztos hogy kell</t>
        </r>
      </text>
    </comment>
    <comment ref="C42" authorId="1" shapeId="0" xr:uid="{00000000-0006-0000-0200-000002000000}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??</t>
        </r>
      </text>
    </comment>
    <comment ref="C189" authorId="2" shapeId="0" xr:uid="{00000000-0006-0000-0200-000003000000}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Elviszem</t>
        </r>
      </text>
    </comment>
    <comment ref="C206" authorId="3" shapeId="0" xr:uid="{00000000-0006-0000-0200-000004000000}">
      <text>
        <r>
          <rPr>
            <sz val="11"/>
            <color indexed="8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Még megbeszéljük, nem biztos hogy kell</t>
        </r>
      </text>
    </comment>
  </commentList>
</comments>
</file>

<file path=xl/sharedStrings.xml><?xml version="1.0" encoding="utf-8"?>
<sst xmlns="http://schemas.openxmlformats.org/spreadsheetml/2006/main" count="675" uniqueCount="397">
  <si>
    <t>Bontások</t>
  </si>
  <si>
    <t>alapár,</t>
  </si>
  <si>
    <t>mennyiség,</t>
  </si>
  <si>
    <t>annyi mint:</t>
  </si>
  <si>
    <t>Ft/m2, Ft/m, Ft/db</t>
  </si>
  <si>
    <t>m2, m, db</t>
  </si>
  <si>
    <t>réteg</t>
  </si>
  <si>
    <t>Villany szerelés</t>
  </si>
  <si>
    <t>Vízvezeték kiépítés</t>
  </si>
  <si>
    <t>Aljzatbeton, Falak, Vakolatok</t>
  </si>
  <si>
    <t>Burkolatok</t>
  </si>
  <si>
    <t>Mázolás</t>
  </si>
  <si>
    <t>Szerelvényezés, beüzemelés</t>
  </si>
  <si>
    <t>Füstgáz elvezetés</t>
  </si>
  <si>
    <t>Kimaradt</t>
  </si>
  <si>
    <t>Keletkezni látszik</t>
  </si>
  <si>
    <t>Díjkalkuláció</t>
  </si>
  <si>
    <t>Anyagszükséglet Becslése</t>
  </si>
  <si>
    <t>mennyiség</t>
  </si>
  <si>
    <t>várható bruttó anyagköltség összesen:</t>
  </si>
  <si>
    <t>Burkolatok anyagai</t>
  </si>
  <si>
    <t>Festés anyagai</t>
  </si>
  <si>
    <t>Mázolás anyagai</t>
  </si>
  <si>
    <t>Füstgáz elvezetés anyagai</t>
  </si>
  <si>
    <t>Engedélyek, Szakvélemények, Hitelesítések, Illetékek</t>
  </si>
  <si>
    <t>Sitt konténerezés vagy zsákolás</t>
  </si>
  <si>
    <t>Sitt  elszállítás</t>
  </si>
  <si>
    <t>Kimaradt anyagok</t>
  </si>
  <si>
    <t>Keletkezni látszó anyagszükségletek</t>
  </si>
  <si>
    <t>egységár</t>
  </si>
  <si>
    <t xml:space="preserve"> Hitelesítések </t>
  </si>
  <si>
    <t>Bontás anyagai…</t>
  </si>
  <si>
    <t>sör hegyek a por ellen….:)</t>
  </si>
  <si>
    <t>Fűtés és Gázvezeték kiépítés</t>
  </si>
  <si>
    <t>Kérem, minden számot összegzést Ön is ellemőrizzen, Bármilyen számszaki hiba előfordulhat!</t>
  </si>
  <si>
    <t>cső</t>
  </si>
  <si>
    <t>idomok</t>
  </si>
  <si>
    <t>kémény bélés anyagai</t>
  </si>
  <si>
    <t>lefolyó csövek</t>
  </si>
  <si>
    <t>lefolyó idomok</t>
  </si>
  <si>
    <t>WC</t>
  </si>
  <si>
    <t>átlagár</t>
  </si>
  <si>
    <t>dobozok</t>
  </si>
  <si>
    <t>konnektorok</t>
  </si>
  <si>
    <t>festhető akrill tömítő</t>
  </si>
  <si>
    <t>vasgitt</t>
  </si>
  <si>
    <t>fatapasz</t>
  </si>
  <si>
    <t>vastagság</t>
  </si>
  <si>
    <t>térfogat</t>
  </si>
  <si>
    <t>súly 1,6 kg/lit</t>
  </si>
  <si>
    <t>csomagolva</t>
  </si>
  <si>
    <t>alternatív kapcsoló</t>
  </si>
  <si>
    <t>felvett:</t>
  </si>
  <si>
    <t>dátum:</t>
  </si>
  <si>
    <t>aktuális beszerzés</t>
  </si>
  <si>
    <t>Aktuális beszerzések</t>
  </si>
  <si>
    <t>AKTUÁLIS összeg</t>
  </si>
  <si>
    <t>várható Anyagköltségek</t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</si>
  <si>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</si>
  <si>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t>AKTUÁLIS</t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</si>
  <si>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</si>
  <si>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</si>
  <si>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</si>
  <si>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</si>
  <si>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t>Aktuális munkadíj kedvezménnyel nettó összesen:</t>
  </si>
  <si>
    <t xml:space="preserve">Cserépkályha kéményajtó </t>
  </si>
  <si>
    <t>Bármilyen számszaki hiba előfordulhat!</t>
  </si>
  <si>
    <t>alap</t>
  </si>
  <si>
    <t>finom glett</t>
  </si>
  <si>
    <t xml:space="preserve">WC tartály </t>
  </si>
  <si>
    <t>kapcsolók pontosítani, nagyságrendileg</t>
  </si>
  <si>
    <t>vakolat pótlás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</si>
  <si>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</si>
  <si>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t>csapok, konyha, mosdó, kézmosó?</t>
  </si>
  <si>
    <t>mosdó, kézmosó?</t>
  </si>
  <si>
    <t>zuhanykabin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</si>
  <si>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</si>
  <si>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</si>
  <si>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Festés, tapétázás</t>
  </si>
  <si>
    <t>ajtó szegő lécek</t>
  </si>
  <si>
    <t>konténer lazaságú térfogat</t>
  </si>
  <si>
    <t>ha mondjuk 27 zsák egy m3, akkor:</t>
  </si>
  <si>
    <t>az összesen:</t>
  </si>
  <si>
    <t>Zsák:</t>
  </si>
  <si>
    <t>csiga felépítés, bérlet</t>
  </si>
  <si>
    <t>festő élvédők</t>
  </si>
  <si>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</si>
  <si>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t>padló szegélyezés vágott lapokkal</t>
  </si>
  <si>
    <t>parkett szegélyezés</t>
  </si>
  <si>
    <t>egyéb füstgáz elvezetési munkálatokhoz kapcsolódó tevékenységek</t>
  </si>
  <si>
    <t>vízóra áthelyezés</t>
  </si>
  <si>
    <t>vízszűrő kiépítés</t>
  </si>
  <si>
    <t>Tesa szalag</t>
  </si>
  <si>
    <t>festés</t>
  </si>
  <si>
    <t>bontott csempék alól kimaradt falrészek vésése restaurálása</t>
  </si>
  <si>
    <t>Összesített vakolat pótlás 1 cm-ig (utólag látszik, közösen felmérni)</t>
  </si>
  <si>
    <t>http://lakasfelujitasunk.hu/felmeres.html</t>
  </si>
  <si>
    <t>Fontos informciók a költségvetéshez:</t>
  </si>
  <si>
    <t>http://lakasfelujitasunk.hu/anyagbeszerzes.html</t>
  </si>
  <si>
    <t>fontos tudnivalók:</t>
  </si>
  <si>
    <t>zsákok</t>
  </si>
  <si>
    <t>wc áthelyezés</t>
  </si>
  <si>
    <t>wc, padló javítás</t>
  </si>
  <si>
    <t>wc lefolyó csõ</t>
  </si>
  <si>
    <t>wc lefolyó idomok</t>
  </si>
  <si>
    <t>1,5*3 eres kábel konnektorokhoz</t>
  </si>
  <si>
    <t>0,75* 3 eres kábel lámpákhoz</t>
  </si>
  <si>
    <t>0,75* 2 eres kábel alternatív</t>
  </si>
  <si>
    <t xml:space="preserve">alapozó festék, 1 literes </t>
  </si>
  <si>
    <t>bojler</t>
  </si>
  <si>
    <t>takaró papír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</si>
  <si>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</si>
  <si>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</si>
  <si>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konnektor helyek kiképzése</t>
  </si>
  <si>
    <t>világitás, egy kapcsolóval</t>
  </si>
  <si>
    <t>Kazán garanciás beüzemelés intézése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</si>
  <si>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</si>
  <si>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t>kedvezmény nélkül: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</si>
  <si>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</si>
  <si>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zománc festék, 1 literes</t>
  </si>
  <si>
    <t>bontási sitt összesen:</t>
  </si>
  <si>
    <t>Sitt, kezelés,  elszállítás</t>
  </si>
  <si>
    <t xml:space="preserve"> víz szürõ</t>
  </si>
  <si>
    <t xml:space="preserve"> fõcsap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</si>
  <si>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</si>
  <si>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</si>
  <si>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</si>
  <si>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>bojler, wc és egyéb szerelő csavarok</t>
  </si>
  <si>
    <t>csempe élvédõk</t>
  </si>
  <si>
    <t>festõ élvédõ</t>
  </si>
  <si>
    <t xml:space="preserve">ragasztott takarás </t>
  </si>
  <si>
    <t xml:space="preserve">több rétegû ragasztott takarás </t>
  </si>
  <si>
    <t>rejtett világítás akna, mélyedés kiképzés, kb.</t>
  </si>
  <si>
    <t>durva glett durvázáshoz</t>
  </si>
  <si>
    <t>vakolat leszakadás</t>
  </si>
  <si>
    <t xml:space="preserve"> vakolat leszakadás</t>
  </si>
  <si>
    <t xml:space="preserve"> hálos élvédõ</t>
  </si>
  <si>
    <t xml:space="preserve"> hálós élvédõ rakása</t>
  </si>
  <si>
    <t xml:space="preserve"> radiátor ragasztók</t>
  </si>
  <si>
    <t>hõtükör radiátor</t>
  </si>
  <si>
    <t>Regi idomok&gt;???</t>
  </si>
  <si>
    <t>tervezett mennyiség,</t>
  </si>
  <si>
    <t>elkészült mennyiség,</t>
  </si>
  <si>
    <t>KÉSZ</t>
  </si>
  <si>
    <t>takaró fóla járható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</si>
  <si>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</si>
  <si>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Aktuális</t>
  </si>
  <si>
    <t>tervezett mennyiség</t>
  </si>
  <si>
    <t>Tervezett összeg</t>
  </si>
  <si>
    <t>Gyakoriak az összegzési hibák!</t>
  </si>
  <si>
    <t>hidegburkolatokon képzett lyukak</t>
  </si>
  <si>
    <t>Kezdéskor ezt az oszlopot kinullázzuk, majd ahogy készülnek a dolgok, újra visszaírjuk.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</si>
  <si>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</si>
  <si>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repedésmentesítés üvegfátyol felhasználásával</t>
  </si>
  <si>
    <t>Biztonsági tartalék</t>
  </si>
  <si>
    <t>stang elzárás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</si>
  <si>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</si>
  <si>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aljzat kiegyenlítés</t>
  </si>
  <si>
    <t>csiszolás</t>
  </si>
  <si>
    <t>megjegyzés:</t>
  </si>
  <si>
    <t>kazán áthelyezés hmm.. Idomok megszámolni</t>
  </si>
  <si>
    <t>akrill az ablak szélekhez</t>
  </si>
  <si>
    <t>tartalék összesen, amiről még nem tudjuk, mire kell….</t>
  </si>
  <si>
    <t>auracolor@hotmail.com  Tóth Róbert +3630 68 00 444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</si>
  <si>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darabok…</t>
    </r>
  </si>
  <si>
    <t>tervezett összeg</t>
  </si>
  <si>
    <t>fugázás</t>
  </si>
  <si>
    <t>élhető 2rtg. mázolás</t>
  </si>
  <si>
    <t>magas mimőségű 3 rtg. Új alapon.</t>
  </si>
  <si>
    <t xml:space="preserve">tervezett összeg </t>
  </si>
  <si>
    <t>aljzatbeton javítások</t>
  </si>
  <si>
    <t>alávakolás, függőlegesítés</t>
  </si>
  <si>
    <t>fugák, kb. ha egy szín…, több szín esetén több lesz a káló</t>
  </si>
  <si>
    <t>parkett lakk</t>
  </si>
  <si>
    <t>mennyezetek</t>
  </si>
  <si>
    <t>tapétázás</t>
  </si>
  <si>
    <t>tapéta fűrészporos</t>
  </si>
  <si>
    <t>tapéta ragasztó</t>
  </si>
  <si>
    <t>laminált parkett, aátét szivacs, fólia</t>
  </si>
  <si>
    <t>0-3-as fehér glettelőgipsz simításhoz, a festett falakra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</si>
  <si>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</si>
  <si>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t xml:space="preserve"> SZÍNEZÉK? Készfesték?</t>
  </si>
  <si>
    <t>alávakolás</t>
  </si>
  <si>
    <t>tervezett beszerzések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</si>
  <si>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</si>
  <si>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függőlegesítés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</si>
  <si>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</si>
  <si>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</si>
  <si>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Hátra van még</t>
  </si>
  <si>
    <t>Hátra van még…</t>
  </si>
  <si>
    <t>Hátra van még...</t>
  </si>
  <si>
    <t>valóságos mennyiség,</t>
  </si>
  <si>
    <t>aktuális</t>
  </si>
  <si>
    <t>egyenesítés  sarok élek</t>
  </si>
  <si>
    <t>egyenesítés felületsík</t>
  </si>
  <si>
    <t>aljzat bontás</t>
  </si>
  <si>
    <t>temperáló padlófűtés kialakítása</t>
  </si>
  <si>
    <t>gázkazán  installálás</t>
  </si>
  <si>
    <t>kémény kialakítása Turbó, vagy kondenzációs kazánhoz, csövek hossza</t>
  </si>
  <si>
    <t>bojler felszerelés</t>
  </si>
  <si>
    <t>nappali fala</t>
  </si>
  <si>
    <t>Falak normál gipszkarton, fémszerkezettel</t>
  </si>
  <si>
    <t>tok mázolás</t>
  </si>
  <si>
    <t>komunikációs kiállás, dupla vezetékkel</t>
  </si>
  <si>
    <t>biztosíték doboz</t>
  </si>
  <si>
    <t>gipszkarton fal kiképzése kálóval  http://www.rigips.hu/tervezoknek/anyag_es_arkalkulator/#calculation</t>
  </si>
  <si>
    <t>Belső ajtók</t>
  </si>
  <si>
    <t>belső ablakok</t>
  </si>
  <si>
    <t>vízóra hitelesítés szerződés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</si>
  <si>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</si>
  <si>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t>tükrös szekrény</t>
  </si>
  <si>
    <t>vízóra csere hitelesíttetés ügyintézése</t>
  </si>
  <si>
    <t>klíma előkészítés, csövek beépítése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</si>
  <si>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</si>
  <si>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radiátor kiállás, törölköző szárító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</si>
  <si>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</si>
  <si>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lábazat bontása</t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</si>
  <si>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</si>
  <si>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lábazat bontása </t>
    </r>
    <r>
      <rPr>
        <b/>
        <sz val="12"/>
        <color indexed="10"/>
        <rFont val="Arial"/>
        <family val="2"/>
        <charset val="238"/>
      </rPr>
      <t>mondjuk</t>
    </r>
  </si>
  <si>
    <t>fleckelés (apró hibák javítása az első festés után)</t>
  </si>
  <si>
    <t xml:space="preserve"> ideiglenes víz óra</t>
  </si>
  <si>
    <t>karton dobozok</t>
  </si>
  <si>
    <t>Galéria</t>
  </si>
  <si>
    <t>fémszerkezet építése</t>
  </si>
  <si>
    <t>Osb lapozás</t>
  </si>
  <si>
    <t>kartonozás</t>
  </si>
  <si>
    <t>rozszdagátlás, alapozás 2 rtg.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</si>
  <si>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</si>
  <si>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</si>
  <si>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</si>
  <si>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</si>
  <si>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t>korlát fémszerkezet vasai (átlagos,  egyszerű korlát)</t>
  </si>
  <si>
    <t>http://www.lakasfelujitasunk.hu/anyagbeszerzes/</t>
  </si>
  <si>
    <t>spott lámpa</t>
  </si>
  <si>
    <t>világitás, két kapcsolóval</t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</si>
  <si>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</si>
  <si>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t>korlát speciális ritka rácsos korlát</t>
  </si>
  <si>
    <t>plusz gerendázás, lábak</t>
  </si>
  <si>
    <r>
      <t xml:space="preserve">lépcső fa lapok, light (fenyő,  </t>
    </r>
    <r>
      <rPr>
        <b/>
        <sz val="12"/>
        <color indexed="10"/>
        <rFont val="Arial"/>
        <family val="2"/>
        <charset val="238"/>
      </rPr>
      <t>keményfa a duplája</t>
    </r>
    <r>
      <rPr>
        <sz val="12"/>
        <rFont val="Arial"/>
        <family val="2"/>
        <charset val="238"/>
      </rPr>
      <t>)</t>
    </r>
  </si>
  <si>
    <t>Összesített horonyvakolás  (utólag látszik, közösen felmérni)</t>
  </si>
  <si>
    <t>AuraColor265</t>
  </si>
  <si>
    <t>1210 0011 -   1776 0328  -  0000 0000</t>
  </si>
  <si>
    <t>látszó fém részek lakkozása, 2 rtg.</t>
  </si>
  <si>
    <t>lépcső lapok, csiszolása, lakkozása, telepítése (átlagos,  egyszerű lépcső)</t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</si>
  <si>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140 mm magas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</si>
  <si>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180 mm magas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</si>
  <si>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200 mm magas</t>
    </r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</si>
  <si>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</si>
  <si>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</si>
  <si>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</si>
  <si>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alapozó olajtalanító rozsdamaró, alapozó festékek</t>
  </si>
  <si>
    <t>látszó fémrészek lakkfestéke kalapácslakkok</t>
  </si>
  <si>
    <t>egyszerű lapos acél létra, vagy lépcső burkolatlan, anyagostul, deszkák nélkül, https://auracolor.hu/galeria-lepcsok/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</si>
  <si>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</si>
  <si>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karton lebontása, sittelése</t>
  </si>
  <si>
    <t>laminált parketta rakása, szegélyezve</t>
  </si>
  <si>
    <t>szilikon a parketta szegéshez</t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</si>
  <si>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</si>
  <si>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</si>
  <si>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t>általános apró javítás a falakon</t>
  </si>
  <si>
    <t>beépített wc beépítése</t>
  </si>
  <si>
    <t>fal bontása</t>
  </si>
  <si>
    <t>wc fala</t>
  </si>
  <si>
    <r>
      <t xml:space="preserve">glettelés 2 rtg. telibe </t>
    </r>
    <r>
      <rPr>
        <b/>
        <sz val="12"/>
        <color indexed="10"/>
        <rFont val="Arial"/>
        <family val="2"/>
        <charset val="238"/>
      </rPr>
      <t>kétszer</t>
    </r>
  </si>
  <si>
    <t>világító karton festése</t>
  </si>
  <si>
    <t xml:space="preserve">aljzat hálózás </t>
  </si>
  <si>
    <t>lamináltparketta lerakás</t>
  </si>
  <si>
    <t xml:space="preserve">alapozó festék, 0,75 literes </t>
  </si>
  <si>
    <t xml:space="preserve">zománc festék, 0,75 literes </t>
  </si>
  <si>
    <t xml:space="preserve">Kérem, minden számot összegzést Ön is ellenőrizzen, </t>
  </si>
  <si>
    <t>tapadóhíd</t>
  </si>
  <si>
    <t>bontott falhelyek, ajtónyílások javítása</t>
  </si>
  <si>
    <t>nappali, világító szegélyekkel együtt, karton és ragasztó és vasak</t>
  </si>
  <si>
    <t>zuhanyzó vízszigetelés, kenhető gumi és sarokerősítő</t>
  </si>
  <si>
    <t>fürdő tálca beton</t>
  </si>
  <si>
    <t>led szalagok életrekeltése</t>
  </si>
  <si>
    <t>sarok és tápcsapokbekötőcsövek</t>
  </si>
  <si>
    <t>padlóváltók beragasztása szilikon anyagostul</t>
  </si>
  <si>
    <r>
      <t>Víz szerelvényezés, lámpa, Wc, darálós wc, öblírótő tartály, csapok,  szifonok, szaniterek, fali tárgyak (számolható darabok) mondjuk…</t>
    </r>
    <r>
      <rPr>
        <b/>
        <sz val="12"/>
        <rFont val="Arial"/>
        <family val="2"/>
        <charset val="238"/>
      </rPr>
      <t>pontosítani...</t>
    </r>
  </si>
  <si>
    <r>
      <t>Villany szerelvényezés (az összes megszámolható darab, konnektor,  kapcsolók, sarokcsapok, …</t>
    </r>
    <r>
      <rPr>
        <b/>
        <sz val="12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</si>
  <si>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t>5500 volt</t>
  </si>
  <si>
    <t>3 ezret beszéltünk meg Viberen</t>
  </si>
  <si>
    <t>hangszórk beszerelése</t>
  </si>
  <si>
    <t>dugulás, helyreállítás</t>
  </si>
  <si>
    <t>csap telep csempeváltoztatás</t>
  </si>
  <si>
    <t>szobafesték, krétaporos Héra minõség, ha színezünk több a káló</t>
  </si>
  <si>
    <r>
      <t>szobafesték</t>
    </r>
    <r>
      <rPr>
        <sz val="12"/>
        <rFont val="Arial"/>
        <family val="2"/>
        <charset val="238"/>
      </rPr>
      <t>, Nem krétaporos</t>
    </r>
    <r>
      <rPr>
        <b/>
        <sz val="12"/>
        <rFont val="Arial"/>
        <family val="2"/>
        <charset val="238"/>
      </rPr>
      <t xml:space="preserve"> minõség, színes készfesték pl. Héra prémium</t>
    </r>
  </si>
  <si>
    <r>
      <t xml:space="preserve">gázcsõ megszüntetés </t>
    </r>
    <r>
      <rPr>
        <b/>
        <sz val="12"/>
        <color indexed="10"/>
        <rFont val="Arial"/>
        <family val="2"/>
        <charset val="238"/>
      </rPr>
      <t>mondjuk</t>
    </r>
  </si>
  <si>
    <t>zuhanytálca bontása</t>
  </si>
  <si>
    <t>lomok, kacatok</t>
  </si>
  <si>
    <t>plusz építési sitt + ajtók tokok</t>
  </si>
  <si>
    <t>anyag feltermelés csiga nélkül</t>
  </si>
  <si>
    <t>új Megszámolható Kiállások, csapok, lefolyók, 3mosdó, 2mosógép, 3zuhany, 4wckézmosóval, 3konyha, 2bojler</t>
  </si>
  <si>
    <t>gázkonvektor megszüntetés, fal javítás</t>
  </si>
  <si>
    <t>konyha erős vezeték vagy fűtőtest külön vezeték kiépítése</t>
  </si>
  <si>
    <t>biztosítéktábla, ujra szerelése, Fi relével</t>
  </si>
  <si>
    <t>belső nyílások spaletta restaurálás</t>
  </si>
  <si>
    <t xml:space="preserve"> világító állmenyezet kialakítása gipszkartonból</t>
  </si>
  <si>
    <t>álmenyezet, a zuhanyzóban</t>
  </si>
  <si>
    <t>strang kartonozása</t>
  </si>
  <si>
    <t>wc hátfal cifrázása</t>
  </si>
  <si>
    <t>fürdőszoba csempézés?</t>
  </si>
  <si>
    <t>wc csempézés?</t>
  </si>
  <si>
    <t>padló wc-fürdő</t>
  </si>
  <si>
    <t>Nagy lapok</t>
  </si>
  <si>
    <t>zuhanytálca kialakítása, kétszeres vízszigetelés</t>
  </si>
  <si>
    <r>
      <t xml:space="preserve">zuhanytálca burkolása, </t>
    </r>
    <r>
      <rPr>
        <b/>
        <sz val="12"/>
        <rFont val="Arial"/>
        <family val="2"/>
        <charset val="238"/>
      </rPr>
      <t>felár</t>
    </r>
  </si>
  <si>
    <r>
      <rPr>
        <b/>
        <sz val="12"/>
        <rFont val="Arial"/>
        <family val="2"/>
        <charset val="238"/>
      </rPr>
      <t>sitt,</t>
    </r>
    <r>
      <rPr>
        <sz val="12"/>
        <rFont val="Arial"/>
        <family val="2"/>
        <charset val="238"/>
      </rPr>
      <t xml:space="preserve"> kihordás, lépcsőzés</t>
    </r>
  </si>
  <si>
    <r>
      <rPr>
        <b/>
        <sz val="12"/>
        <rFont val="Arial"/>
        <family val="2"/>
        <charset val="238"/>
      </rPr>
      <t>sitt kezelés,</t>
    </r>
    <r>
      <rPr>
        <sz val="12"/>
        <rFont val="Arial"/>
        <family val="2"/>
        <charset val="238"/>
      </rPr>
      <t xml:space="preserve"> zsákolás, takarítás</t>
    </r>
  </si>
  <si>
    <t>egész fürdőszoba vízszigetelése</t>
  </si>
  <si>
    <t>konyha-előtér fala</t>
  </si>
  <si>
    <t>fürdő fala</t>
  </si>
  <si>
    <t>bontott falhelyek restaurálása</t>
  </si>
  <si>
    <r>
      <t>vagy csak</t>
    </r>
    <r>
      <rPr>
        <sz val="12"/>
        <color rgb="FFFF0000"/>
        <rFont val="Arial"/>
        <family val="2"/>
        <charset val="238"/>
      </rPr>
      <t xml:space="preserve"> villanyos is létezik felébe kerül</t>
    </r>
  </si>
  <si>
    <t>összesen</t>
  </si>
  <si>
    <r>
      <t xml:space="preserve">4*3 eres VASTAG kábel fővezeték, konyha, közvetlen </t>
    </r>
    <r>
      <rPr>
        <b/>
        <sz val="12"/>
        <color rgb="FFFF0000"/>
        <rFont val="Arial"/>
        <family val="2"/>
        <charset val="238"/>
      </rPr>
      <t>INDUKCIÓS?</t>
    </r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</si>
  <si>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 xml:space="preserve">? </t>
    </r>
  </si>
  <si>
    <r>
      <rPr>
        <b/>
        <sz val="12"/>
        <rFont val="Arial"/>
        <family val="2"/>
        <charset val="238"/>
      </rPr>
      <t>szükséges lehet</t>
    </r>
    <r>
      <rPr>
        <sz val="12"/>
        <rFont val="Arial"/>
        <family val="2"/>
        <charset val="238"/>
      </rPr>
      <t xml:space="preserve">, fürdő csempe hely újra </t>
    </r>
    <r>
      <rPr>
        <b/>
        <sz val="12"/>
        <color rgb="FFFF0000"/>
        <rFont val="Arial"/>
        <family val="2"/>
        <charset val="238"/>
      </rPr>
      <t>vakolása,</t>
    </r>
    <r>
      <rPr>
        <sz val="12"/>
        <rFont val="Arial"/>
        <family val="2"/>
        <charset val="238"/>
      </rPr>
      <t xml:space="preserve"> vagy kartonozására</t>
    </r>
  </si>
  <si>
    <t>konyhaszekrény vas megerősítés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</si>
  <si>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padló</t>
    </r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</si>
  <si>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csempe</t>
    </r>
  </si>
  <si>
    <t>padló ragasztó</t>
  </si>
  <si>
    <t>csempe ragasztó</t>
  </si>
  <si>
    <r>
      <t xml:space="preserve">alu élvédő </t>
    </r>
    <r>
      <rPr>
        <b/>
        <sz val="12"/>
        <color rgb="FF0070C0"/>
        <rFont val="Arial"/>
        <family val="2"/>
        <charset val="238"/>
      </rPr>
      <t>mondjuk...</t>
    </r>
  </si>
  <si>
    <t>tapadóhídazás</t>
  </si>
  <si>
    <t>terület</t>
  </si>
  <si>
    <t>végső költség</t>
  </si>
  <si>
    <t>nméterre vetített felújítási költség</t>
  </si>
  <si>
    <r>
      <t xml:space="preserve"> csempe bontása </t>
    </r>
    <r>
      <rPr>
        <b/>
        <sz val="12"/>
        <color indexed="10"/>
        <rFont val="Arial"/>
        <family val="2"/>
        <charset val="238"/>
      </rPr>
      <t>mondjuk</t>
    </r>
  </si>
  <si>
    <t>o</t>
  </si>
  <si>
    <r>
      <rPr>
        <b/>
        <sz val="12"/>
        <rFont val="Arial"/>
        <family val="2"/>
        <charset val="238"/>
      </rPr>
      <t>szükséges lehet</t>
    </r>
    <r>
      <rPr>
        <sz val="12"/>
        <rFont val="Arial"/>
        <family val="2"/>
        <charset val="238"/>
      </rPr>
      <t xml:space="preserve">, </t>
    </r>
    <r>
      <rPr>
        <b/>
        <sz val="12"/>
        <color rgb="FFFF0000"/>
        <rFont val="Arial"/>
        <family val="2"/>
        <charset val="238"/>
      </rPr>
      <t>FÜRDŐ</t>
    </r>
    <r>
      <rPr>
        <sz val="12"/>
        <rFont val="Arial"/>
        <family val="2"/>
        <charset val="238"/>
      </rPr>
      <t xml:space="preserve"> hátulja kartonozva</t>
    </r>
  </si>
  <si>
    <r>
      <rPr>
        <b/>
        <sz val="12"/>
        <rFont val="Arial"/>
        <family val="2"/>
        <charset val="238"/>
      </rPr>
      <t>szükséges lehet</t>
    </r>
    <r>
      <rPr>
        <sz val="12"/>
        <rFont val="Arial"/>
        <family val="2"/>
        <charset val="238"/>
      </rPr>
      <t xml:space="preserve">, </t>
    </r>
    <r>
      <rPr>
        <b/>
        <sz val="12"/>
        <color rgb="FFFF0000"/>
        <rFont val="Arial"/>
        <family val="2"/>
        <charset val="238"/>
      </rPr>
      <t>FÜRDŐ</t>
    </r>
    <r>
      <rPr>
        <sz val="12"/>
        <rFont val="Arial"/>
        <family val="2"/>
        <charset val="238"/>
      </rPr>
      <t xml:space="preserve"> két oldala vakolással</t>
    </r>
  </si>
  <si>
    <t>konyhai válaszfal teherbíró zártszelvény szerkezete</t>
  </si>
  <si>
    <t>bojler vas megerősítés</t>
  </si>
  <si>
    <t>aktuális, nettó/bruttó</t>
  </si>
  <si>
    <t xml:space="preserve">tervezett nettó/bruttó </t>
  </si>
  <si>
    <r>
      <t xml:space="preserve">fürdő </t>
    </r>
    <r>
      <rPr>
        <b/>
        <sz val="12"/>
        <color rgb="FF00B050"/>
        <rFont val="Arial"/>
        <family val="2"/>
        <charset val="238"/>
      </rPr>
      <t>zöld</t>
    </r>
    <r>
      <rPr>
        <sz val="12"/>
        <rFont val="Arial"/>
        <family val="2"/>
        <charset val="238"/>
      </rPr>
      <t xml:space="preserve"> csempe hely újra vakolása,</t>
    </r>
    <r>
      <rPr>
        <b/>
        <sz val="12"/>
        <color rgb="FFFF0000"/>
        <rFont val="Arial"/>
        <family val="2"/>
        <charset val="238"/>
      </rPr>
      <t xml:space="preserve"> vakolat helyett karton</t>
    </r>
  </si>
  <si>
    <t>karton ragasztó</t>
  </si>
  <si>
    <r>
      <t>Összesített vakolat pótlás,</t>
    </r>
    <r>
      <rPr>
        <b/>
        <sz val="12"/>
        <color rgb="FF00B050"/>
        <rFont val="Arial"/>
        <family val="2"/>
        <charset val="238"/>
      </rPr>
      <t xml:space="preserve"> fürdő, konyha</t>
    </r>
    <r>
      <rPr>
        <sz val="12"/>
        <rFont val="Arial"/>
        <family val="2"/>
        <charset val="238"/>
      </rPr>
      <t xml:space="preserve">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</si>
  <si>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>bojler válaszfal teherbíró zártszelvény szerkezete</t>
  </si>
  <si>
    <t>álmenyezet, a nappaliban</t>
  </si>
  <si>
    <t>wc és fürdőálmenyezet anyagai</t>
  </si>
  <si>
    <t>konyha álmenyezet anyagai</t>
  </si>
  <si>
    <t>díszvilágítás kialakítása</t>
  </si>
  <si>
    <t>plusz CD Profil a díszvilágításhoz</t>
  </si>
  <si>
    <t>álmenyezet, a wc-ben</t>
  </si>
  <si>
    <t>wc aljzat betonozás 3-4 centiig</t>
  </si>
  <si>
    <t>utalva Török előtt</t>
  </si>
  <si>
    <t xml:space="preserve"> bontott falhelyek, falsík egyenesítés</t>
  </si>
  <si>
    <t>aljzat beton wc</t>
  </si>
  <si>
    <t>kivettem a szoba menyezetet.</t>
  </si>
  <si>
    <t>viszont az egészkonyha, menyezetestül 3 réteges…</t>
  </si>
  <si>
    <t>üvegszövet háló</t>
  </si>
  <si>
    <t>biztosíékok</t>
  </si>
  <si>
    <t>Ablakbélet</t>
  </si>
  <si>
    <t>lállmnyzt lépcőzé felár</t>
  </si>
  <si>
    <t>a csőhelyek glettelése, festése</t>
  </si>
  <si>
    <t xml:space="preserve">bejárati fal három glett </t>
  </si>
  <si>
    <t>Az egész végső javítgatésa, festése</t>
  </si>
  <si>
    <r>
      <rPr>
        <b/>
        <sz val="12"/>
        <color rgb="FFFF0000"/>
        <rFont val="Arial"/>
        <family val="2"/>
        <charset val="238"/>
      </rPr>
      <t>WC</t>
    </r>
    <r>
      <rPr>
        <sz val="12"/>
        <rFont val="Arial"/>
        <family val="2"/>
        <charset val="238"/>
      </rPr>
      <t xml:space="preserve"> fal újra  kartonozására</t>
    </r>
  </si>
  <si>
    <t>?</t>
  </si>
  <si>
    <t>nem értem a két összeget</t>
  </si>
  <si>
    <t>Eltört csempe /2</t>
  </si>
  <si>
    <t>Visszavitt csempe (buzis)</t>
  </si>
  <si>
    <t>Vásárolt csempe</t>
  </si>
  <si>
    <t>Összesen (1+2-3)</t>
  </si>
  <si>
    <t>Csempe visszavitel</t>
  </si>
  <si>
    <t>wc és fürdő falak festés előkészítés, festése</t>
  </si>
  <si>
    <t>ajtó csere</t>
  </si>
  <si>
    <t>ajtóbélet helyreállítása</t>
  </si>
  <si>
    <t>ventillátor pur hab, ajtóhoz is</t>
  </si>
  <si>
    <t>biztosíték fésű</t>
  </si>
  <si>
    <t>ezt valamiért utaltad, miért is? Megvan, lémpákat hoztam el</t>
  </si>
  <si>
    <t>lámpák</t>
  </si>
  <si>
    <t>glettelés 3 rtg. egyenesítés háromszor egészkonyha, menyezetestül 3 réteges…</t>
  </si>
  <si>
    <t>glettelés 3 rtg. egyenesítés négy réteg világított menyezet</t>
  </si>
  <si>
    <t>festés wc, fürdő, elmaradt fal</t>
  </si>
  <si>
    <t>menyezet simogatási gipsz</t>
  </si>
  <si>
    <t>cső mázolás</t>
  </si>
  <si>
    <t>ajtó méret korrekciós munkák, csempe vágás is, csempézés is</t>
  </si>
  <si>
    <t>szekrény vasalat, és zárás, festve</t>
  </si>
  <si>
    <t>konyhai led világítás, kiépítése</t>
  </si>
  <si>
    <t>ajtókeretek beragasztása</t>
  </si>
  <si>
    <t>utólagos falrepedés mentesítés üvegfátyollal, festve</t>
  </si>
  <si>
    <t>ledes pöcörék, a múltkoriak is, (beszerzési díj nélkül)</t>
  </si>
  <si>
    <t>szilikon fehér és színtelem szerelvényezés</t>
  </si>
  <si>
    <t>fuga</t>
  </si>
  <si>
    <t>akril</t>
  </si>
  <si>
    <t>22+Kommunikáció</t>
  </si>
  <si>
    <t>fürdő2, wc, pult, szoba2</t>
  </si>
  <si>
    <t>mosógép szifon</t>
  </si>
  <si>
    <t>zuhanyüveg telepítése</t>
  </si>
  <si>
    <t>parkettaszegély kíhúzása</t>
  </si>
  <si>
    <t>utalva</t>
  </si>
  <si>
    <t>Jakab.Szilard@gmail.com</t>
  </si>
  <si>
    <t>Jakab Szilárd</t>
  </si>
  <si>
    <t>Fay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</si>
</sst>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#,##0_@&quot;m2&quot;"/>
    <numFmt numFmtId="166" formatCode="#,##0_@&quot;db&quot;"/>
    <numFmt numFmtId="167" formatCode="#,##0_@&quot;m&quot;"/>
    <numFmt numFmtId="168" formatCode="#,##0.0_@&quot;m2&quot;"/>
    <numFmt numFmtId="169" formatCode="#,##0.00_@&quot;m2&quot;"/>
    <numFmt numFmtId="170" formatCode="#,##0.00_@&quot;m&quot;"/>
    <numFmt numFmtId="171" formatCode="#,##0.0_@&quot;m&quot;"/>
    <numFmt numFmtId="172" formatCode="#,##0_@&quot;m3&quot;"/>
    <numFmt numFmtId="173" formatCode="#,##0_@&quot;zsák&quot;"/>
    <numFmt numFmtId="174" formatCode="#,##0_@&quot;tábla&quot;"/>
    <numFmt numFmtId="175" formatCode="#,##0_@&quot;tekercs&quot;"/>
    <numFmt numFmtId="176" formatCode="#,##0.00_@&quot;cm&quot;"/>
    <numFmt numFmtId="177" formatCode="#,##0_@&quot;liter&quot;"/>
    <numFmt numFmtId="178" formatCode="#,##0_@&quot;kg&quot;"/>
    <numFmt numFmtId="179" formatCode="#,##0_@&quot;Ft/össz.&quot;"/>
    <numFmt numFmtId="180" formatCode="#,##0_@&quot;Ft/zsák&quot;"/>
    <numFmt numFmtId="181" formatCode="#,##0_@&quot;zsák/25 kg&quot;"/>
    <numFmt numFmtId="182" formatCode="#,##0_@&quot;tubus&quot;"/>
    <numFmt numFmtId="183" formatCode="#,##0_@&quot;doboz&quot;"/>
    <numFmt numFmtId="184" formatCode="#,##0.0_@&quot;m3&quot;"/>
    <numFmt numFmtId="185" formatCode="#,##0_@&quot;csomag&quot;"/>
    <numFmt numFmtId="186" formatCode="#,##0_@&quot;tabla&quot;"/>
    <numFmt numFmtId="187" formatCode="#,##0.0_@&quot;zsák/25 kg&quot;"/>
    <numFmt numFmtId="188" formatCode="#,##0_@&quot;munkanap&quot;"/>
    <numFmt numFmtId="189" formatCode="#,##0_@&quot;cm&quot;"/>
    <numFmt numFmtId="190" formatCode="#,##0_@&quot;fok&quot;"/>
    <numFmt numFmtId="191" formatCode="#,##0.00_@&quot;liter&quot;"/>
    <numFmt numFmtId="192" formatCode="[$-40E]yy/\ mmmm\ d\.;@"/>
    <numFmt numFmtId="193" formatCode="#,##0_@&quot;vödör/5 kg&quot;"/>
    <numFmt numFmtId="194" formatCode="#,##0_@&quot;vödör/10 kg&quot;"/>
    <numFmt numFmtId="195" formatCode="#,##0_@&quot;vödör/16 lit&quot;"/>
    <numFmt numFmtId="196" formatCode="#,##0.0_@&quot;db&quot;"/>
    <numFmt numFmtId="197" formatCode="#,##0.0_@&quot;vödör/5 kg&quot;"/>
    <numFmt numFmtId="198" formatCode="_-* #,##0\ [$Ft-40E]_-;\-* #,##0\ [$Ft-40E]_-;_-* &quot;-&quot;??\ [$Ft-40E]_-;_-@_-"/>
  </numFmts>
  <fonts count="137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b/>
      <sz val="11"/>
      <color indexed="10"/>
      <name val="Arial Narrow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Arial Black"/>
      <family val="2"/>
      <charset val="238"/>
    </font>
    <font>
      <sz val="12"/>
      <color indexed="10"/>
      <name val="Arial CE"/>
      <charset val="238"/>
    </font>
    <font>
      <sz val="11"/>
      <color indexed="10"/>
      <name val="Calibri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1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55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4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b/>
      <sz val="11"/>
      <color rgb="FF0000CC"/>
      <name val="Arial Black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rgb="FF0070C0"/>
      <name val="Calibri"/>
      <family val="2"/>
      <charset val="238"/>
    </font>
    <font>
      <sz val="11"/>
      <name val="Arial Black"/>
      <family val="2"/>
      <charset val="238"/>
    </font>
    <font>
      <b/>
      <sz val="11"/>
      <color theme="0"/>
      <name val="Calibri"/>
      <family val="2"/>
      <charset val="238"/>
    </font>
    <font>
      <sz val="14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b/>
      <sz val="14"/>
      <color theme="0"/>
      <name val="Calibri"/>
      <family val="2"/>
      <charset val="238"/>
    </font>
    <font>
      <sz val="11"/>
      <color rgb="FFFFFF00"/>
      <name val="Calibri"/>
      <family val="2"/>
      <charset val="238"/>
    </font>
    <font>
      <b/>
      <sz val="14"/>
      <color rgb="FFFFFF00"/>
      <name val="Arial Black"/>
      <family val="2"/>
      <charset val="238"/>
    </font>
    <font>
      <sz val="14"/>
      <color rgb="FFFFFF00"/>
      <name val="Arial Black"/>
      <family val="2"/>
      <charset val="238"/>
    </font>
    <font>
      <sz val="12"/>
      <color rgb="FFFFFF00"/>
      <name val="Arial"/>
      <family val="2"/>
      <charset val="238"/>
    </font>
    <font>
      <sz val="11"/>
      <color rgb="FFFFFF00"/>
      <name val="Arial Black"/>
      <family val="2"/>
      <charset val="238"/>
    </font>
    <font>
      <sz val="10"/>
      <color theme="0"/>
      <name val="Calibri"/>
      <family val="2"/>
      <charset val="238"/>
    </font>
    <font>
      <sz val="14"/>
      <color rgb="FFFF0000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sz val="14"/>
      <color theme="1"/>
      <name val="Arial Black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AF96D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69" fillId="2" borderId="0" applyNumberFormat="0" applyBorder="0" applyAlignment="0" applyProtection="0"/>
    <xf numFmtId="0" fontId="69" fillId="3" borderId="0" applyNumberFormat="0" applyBorder="0" applyAlignment="0" applyProtection="0"/>
    <xf numFmtId="0" fontId="69" fillId="4" borderId="0" applyNumberFormat="0" applyBorder="0" applyAlignment="0" applyProtection="0"/>
    <xf numFmtId="0" fontId="69" fillId="5" borderId="0" applyNumberFormat="0" applyBorder="0" applyAlignment="0" applyProtection="0"/>
    <xf numFmtId="0" fontId="69" fillId="6" borderId="0" applyNumberFormat="0" applyBorder="0" applyAlignment="0" applyProtection="0"/>
    <xf numFmtId="0" fontId="69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5" borderId="0" applyNumberFormat="0" applyBorder="0" applyAlignment="0" applyProtection="0"/>
    <xf numFmtId="0" fontId="69" fillId="8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9" borderId="0" applyNumberFormat="0" applyBorder="0" applyAlignment="0" applyProtection="0"/>
    <xf numFmtId="0" fontId="51" fillId="3" borderId="0" applyNumberFormat="0" applyBorder="0" applyAlignment="0" applyProtection="0"/>
    <xf numFmtId="0" fontId="53" fillId="20" borderId="1" applyNumberFormat="0" applyAlignment="0" applyProtection="0"/>
    <xf numFmtId="0" fontId="71" fillId="21" borderId="2" applyNumberFormat="0" applyAlignment="0" applyProtection="0"/>
    <xf numFmtId="43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9" fillId="7" borderId="1" applyNumberFormat="0" applyAlignment="0" applyProtection="0"/>
    <xf numFmtId="0" fontId="46" fillId="0" borderId="6" applyNumberFormat="0" applyFill="0" applyAlignment="0" applyProtection="0"/>
    <xf numFmtId="0" fontId="52" fillId="22" borderId="0" applyNumberFormat="0" applyBorder="0" applyAlignment="0" applyProtection="0"/>
    <xf numFmtId="0" fontId="7" fillId="23" borderId="7" applyNumberFormat="0" applyFont="0" applyAlignment="0" applyProtection="0"/>
    <xf numFmtId="0" fontId="48" fillId="20" borderId="8" applyNumberFormat="0" applyAlignment="0" applyProtection="0"/>
    <xf numFmtId="0" fontId="40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8" fillId="15" borderId="0" applyNumberFormat="0" applyBorder="0" applyAlignment="0" applyProtection="0"/>
    <xf numFmtId="9" fontId="7" fillId="0" borderId="0" applyFont="0" applyFill="0" applyBorder="0" applyAlignment="0" applyProtection="0"/>
  </cellStyleXfs>
  <cellXfs count="666">
    <xf numFmtId="0" fontId="0" fillId="0" borderId="0" xfId="0"/>
    <xf numFmtId="3" fontId="4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Font="1" applyBorder="1" applyAlignment="1" applyProtection="1">
      <alignment wrapText="1"/>
      <protection locked="0"/>
    </xf>
    <xf numFmtId="0" fontId="5" fillId="24" borderId="0" xfId="0" applyFont="1" applyFill="1" applyAlignment="1" applyProtection="1">
      <alignment horizontal="right"/>
      <protection locked="0"/>
    </xf>
    <xf numFmtId="0" fontId="5" fillId="24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horizontal="center"/>
    </xf>
    <xf numFmtId="3" fontId="1" fillId="0" borderId="0" xfId="0" applyNumberFormat="1" applyFont="1" applyProtection="1">
      <protection locked="0"/>
    </xf>
    <xf numFmtId="3" fontId="1" fillId="0" borderId="12" xfId="0" applyNumberFormat="1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3" fontId="1" fillId="0" borderId="13" xfId="0" applyNumberFormat="1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8" fillId="0" borderId="0" xfId="0" applyNumberFormat="1" applyFont="1"/>
    <xf numFmtId="3" fontId="4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wrapText="1"/>
      <protection locked="0"/>
    </xf>
    <xf numFmtId="3" fontId="10" fillId="0" borderId="0" xfId="0" applyNumberFormat="1" applyFont="1"/>
    <xf numFmtId="164" fontId="17" fillId="0" borderId="0" xfId="28" applyNumberFormat="1" applyFont="1" applyFill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164" fontId="5" fillId="0" borderId="15" xfId="28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6" xfId="28" applyNumberFormat="1" applyFont="1" applyFill="1" applyBorder="1" applyAlignment="1">
      <alignment horizontal="center"/>
    </xf>
    <xf numFmtId="180" fontId="1" fillId="0" borderId="17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76" fontId="4" fillId="0" borderId="18" xfId="0" applyNumberFormat="1" applyFont="1" applyBorder="1" applyAlignment="1">
      <alignment horizontal="center"/>
    </xf>
    <xf numFmtId="177" fontId="1" fillId="0" borderId="18" xfId="0" applyNumberFormat="1" applyFont="1" applyBorder="1" applyAlignment="1">
      <alignment horizontal="center"/>
    </xf>
    <xf numFmtId="178" fontId="1" fillId="0" borderId="18" xfId="0" applyNumberFormat="1" applyFont="1" applyBorder="1" applyAlignment="1">
      <alignment horizontal="center"/>
    </xf>
    <xf numFmtId="179" fontId="4" fillId="0" borderId="19" xfId="0" applyNumberFormat="1" applyFont="1" applyBorder="1" applyAlignment="1">
      <alignment horizontal="center"/>
    </xf>
    <xf numFmtId="168" fontId="4" fillId="0" borderId="10" xfId="0" applyNumberFormat="1" applyFont="1" applyBorder="1" applyAlignment="1">
      <alignment horizontal="center"/>
    </xf>
    <xf numFmtId="181" fontId="1" fillId="0" borderId="1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24" fillId="0" borderId="0" xfId="28" applyNumberFormat="1" applyFont="1" applyFill="1"/>
    <xf numFmtId="0" fontId="14" fillId="0" borderId="12" xfId="0" applyFont="1" applyBorder="1" applyAlignment="1" applyProtection="1">
      <alignment wrapText="1"/>
      <protection locked="0"/>
    </xf>
    <xf numFmtId="0" fontId="36" fillId="0" borderId="0" xfId="0" applyFont="1" applyAlignment="1">
      <alignment wrapText="1"/>
    </xf>
    <xf numFmtId="164" fontId="0" fillId="0" borderId="0" xfId="28" applyNumberFormat="1" applyFont="1"/>
    <xf numFmtId="0" fontId="72" fillId="0" borderId="12" xfId="0" applyFont="1" applyBorder="1" applyAlignment="1" applyProtection="1">
      <alignment vertical="center" wrapText="1"/>
      <protection locked="0"/>
    </xf>
    <xf numFmtId="0" fontId="54" fillId="0" borderId="0" xfId="0" applyFont="1" applyAlignment="1">
      <alignment vertical="center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60" fillId="25" borderId="2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21" xfId="0" applyNumberFormat="1" applyFont="1" applyBorder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wrapText="1"/>
      <protection locked="0"/>
    </xf>
    <xf numFmtId="166" fontId="0" fillId="0" borderId="0" xfId="0" applyNumberFormat="1"/>
    <xf numFmtId="0" fontId="63" fillId="0" borderId="0" xfId="35" applyFont="1" applyBorder="1" applyAlignment="1" applyProtection="1">
      <alignment horizontal="center" vertical="top" wrapText="1"/>
    </xf>
    <xf numFmtId="0" fontId="73" fillId="0" borderId="0" xfId="0" applyFont="1" applyAlignment="1">
      <alignment horizontal="right" vertical="center" wrapText="1"/>
    </xf>
    <xf numFmtId="0" fontId="75" fillId="0" borderId="0" xfId="0" applyFont="1"/>
    <xf numFmtId="0" fontId="35" fillId="0" borderId="0" xfId="0" applyFont="1" applyAlignment="1">
      <alignment vertical="center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right" vertical="center" wrapText="1"/>
      <protection locked="0"/>
    </xf>
    <xf numFmtId="3" fontId="1" fillId="0" borderId="23" xfId="0" applyNumberFormat="1" applyFont="1" applyBorder="1" applyAlignment="1" applyProtection="1">
      <alignment vertical="center"/>
      <protection locked="0"/>
    </xf>
    <xf numFmtId="3" fontId="1" fillId="0" borderId="19" xfId="0" applyNumberFormat="1" applyFont="1" applyBorder="1" applyAlignment="1" applyProtection="1">
      <alignment vertical="center"/>
      <protection locked="0"/>
    </xf>
    <xf numFmtId="0" fontId="54" fillId="0" borderId="0" xfId="0" applyFont="1" applyAlignment="1">
      <alignment vertical="center" wrapText="1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vertical="center"/>
      <protection locked="0"/>
    </xf>
    <xf numFmtId="0" fontId="54" fillId="0" borderId="12" xfId="0" applyFont="1" applyBorder="1" applyAlignment="1">
      <alignment vertical="center" wrapText="1"/>
    </xf>
    <xf numFmtId="164" fontId="5" fillId="0" borderId="15" xfId="28" applyNumberFormat="1" applyFont="1" applyFill="1" applyBorder="1" applyAlignment="1">
      <alignment horizont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72" fillId="0" borderId="28" xfId="0" applyFont="1" applyBorder="1" applyAlignment="1" applyProtection="1">
      <alignment wrapText="1"/>
      <protection locked="0"/>
    </xf>
    <xf numFmtId="3" fontId="1" fillId="0" borderId="29" xfId="0" applyNumberFormat="1" applyFont="1" applyBorder="1" applyProtection="1">
      <protection locked="0"/>
    </xf>
    <xf numFmtId="0" fontId="0" fillId="0" borderId="12" xfId="0" applyBorder="1"/>
    <xf numFmtId="0" fontId="59" fillId="0" borderId="0" xfId="0" applyFont="1" applyAlignment="1">
      <alignment vertical="center"/>
    </xf>
    <xf numFmtId="3" fontId="35" fillId="0" borderId="0" xfId="0" applyNumberFormat="1" applyFont="1" applyAlignment="1" applyProtection="1">
      <alignment horizontal="center" wrapText="1"/>
      <protection locked="0"/>
    </xf>
    <xf numFmtId="3" fontId="34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80" fillId="0" borderId="0" xfId="0" applyFont="1" applyAlignment="1" applyProtection="1">
      <alignment horizontal="left" wrapText="1"/>
      <protection locked="0"/>
    </xf>
    <xf numFmtId="0" fontId="82" fillId="0" borderId="0" xfId="0" applyFont="1" applyAlignment="1" applyProtection="1">
      <alignment horizontal="center" wrapText="1"/>
      <protection locked="0"/>
    </xf>
    <xf numFmtId="3" fontId="58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28" applyNumberFormat="1" applyFont="1" applyFill="1" applyBorder="1" applyAlignment="1">
      <alignment horizontal="center" vertical="center"/>
    </xf>
    <xf numFmtId="180" fontId="1" fillId="0" borderId="12" xfId="0" applyNumberFormat="1" applyFont="1" applyBorder="1" applyAlignment="1">
      <alignment horizontal="center" vertical="center"/>
    </xf>
    <xf numFmtId="168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81" fontId="1" fillId="0" borderId="12" xfId="0" applyNumberFormat="1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166" fontId="82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9" fontId="82" fillId="0" borderId="1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59" fillId="0" borderId="31" xfId="0" applyFont="1" applyBorder="1" applyAlignment="1">
      <alignment vertical="center" wrapText="1"/>
    </xf>
    <xf numFmtId="184" fontId="59" fillId="0" borderId="32" xfId="0" applyNumberFormat="1" applyFont="1" applyBorder="1" applyAlignment="1">
      <alignment vertical="center"/>
    </xf>
    <xf numFmtId="181" fontId="76" fillId="0" borderId="0" xfId="0" applyNumberFormat="1" applyFont="1" applyAlignment="1">
      <alignment vertical="center"/>
    </xf>
    <xf numFmtId="166" fontId="82" fillId="0" borderId="12" xfId="0" applyNumberFormat="1" applyFont="1" applyBorder="1" applyAlignment="1">
      <alignment horizontal="center" vertical="center"/>
    </xf>
    <xf numFmtId="184" fontId="59" fillId="0" borderId="0" xfId="0" applyNumberFormat="1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6" xfId="28" applyNumberFormat="1" applyFont="1" applyFill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81" fontId="1" fillId="0" borderId="18" xfId="0" applyNumberFormat="1" applyFont="1" applyBorder="1" applyAlignment="1">
      <alignment horizontal="center" vertical="center"/>
    </xf>
    <xf numFmtId="3" fontId="82" fillId="0" borderId="0" xfId="0" applyNumberFormat="1" applyFont="1" applyAlignment="1" applyProtection="1">
      <alignment horizontal="center" vertical="center"/>
      <protection locked="0"/>
    </xf>
    <xf numFmtId="3" fontId="59" fillId="0" borderId="0" xfId="0" applyNumberFormat="1" applyFont="1" applyAlignment="1" applyProtection="1">
      <alignment vertical="center"/>
      <protection locked="0"/>
    </xf>
    <xf numFmtId="0" fontId="79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6" fontId="82" fillId="0" borderId="13" xfId="0" applyNumberFormat="1" applyFont="1" applyBorder="1" applyAlignment="1">
      <alignment horizontal="center" vertical="center"/>
    </xf>
    <xf numFmtId="169" fontId="82" fillId="0" borderId="13" xfId="0" applyNumberFormat="1" applyFont="1" applyBorder="1" applyAlignment="1">
      <alignment horizontal="center" vertical="center"/>
    </xf>
    <xf numFmtId="168" fontId="82" fillId="0" borderId="13" xfId="0" applyNumberFormat="1" applyFont="1" applyBorder="1" applyAlignment="1">
      <alignment horizontal="center" vertical="center"/>
    </xf>
    <xf numFmtId="170" fontId="82" fillId="0" borderId="12" xfId="0" applyNumberFormat="1" applyFont="1" applyBorder="1" applyAlignment="1">
      <alignment horizontal="center" vertical="center"/>
    </xf>
    <xf numFmtId="0" fontId="78" fillId="0" borderId="0" xfId="0" applyFont="1" applyAlignment="1" applyProtection="1">
      <alignment vertical="center" wrapText="1"/>
      <protection locked="0"/>
    </xf>
    <xf numFmtId="3" fontId="78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textRotation="255"/>
      <protection locked="0"/>
    </xf>
    <xf numFmtId="0" fontId="59" fillId="0" borderId="0" xfId="0" applyFont="1" applyAlignment="1" applyProtection="1">
      <alignment vertical="center" wrapText="1"/>
      <protection locked="0"/>
    </xf>
    <xf numFmtId="0" fontId="7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7" fontId="82" fillId="0" borderId="13" xfId="0" applyNumberFormat="1" applyFont="1" applyBorder="1" applyAlignment="1">
      <alignment horizontal="center" vertical="center"/>
    </xf>
    <xf numFmtId="168" fontId="82" fillId="0" borderId="12" xfId="0" applyNumberFormat="1" applyFont="1" applyBorder="1" applyAlignment="1">
      <alignment horizontal="center" vertical="center"/>
    </xf>
    <xf numFmtId="167" fontId="82" fillId="0" borderId="12" xfId="0" applyNumberFormat="1" applyFont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9" fillId="27" borderId="0" xfId="0" applyFont="1" applyFill="1" applyAlignment="1">
      <alignment vertical="center"/>
    </xf>
    <xf numFmtId="0" fontId="54" fillId="27" borderId="0" xfId="0" applyFont="1" applyFill="1" applyAlignment="1">
      <alignment vertical="center"/>
    </xf>
    <xf numFmtId="0" fontId="31" fillId="27" borderId="0" xfId="0" applyFont="1" applyFill="1" applyAlignment="1" applyProtection="1">
      <alignment vertical="center"/>
      <protection locked="0"/>
    </xf>
    <xf numFmtId="3" fontId="81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0" fontId="55" fillId="27" borderId="0" xfId="0" applyFont="1" applyFill="1" applyAlignment="1">
      <alignment horizontal="right" vertical="center"/>
    </xf>
    <xf numFmtId="0" fontId="44" fillId="27" borderId="0" xfId="0" applyFont="1" applyFill="1" applyAlignment="1">
      <alignment vertical="center"/>
    </xf>
    <xf numFmtId="0" fontId="80" fillId="27" borderId="0" xfId="0" applyFont="1" applyFill="1" applyAlignment="1" applyProtection="1">
      <alignment horizontal="left" wrapText="1"/>
      <protection locked="0"/>
    </xf>
    <xf numFmtId="0" fontId="4" fillId="27" borderId="0" xfId="0" applyFont="1" applyFill="1" applyAlignment="1" applyProtection="1">
      <alignment horizontal="center"/>
      <protection locked="0"/>
    </xf>
    <xf numFmtId="3" fontId="1" fillId="27" borderId="0" xfId="0" applyNumberFormat="1" applyFont="1" applyFill="1" applyProtection="1">
      <protection locked="0"/>
    </xf>
    <xf numFmtId="0" fontId="82" fillId="27" borderId="0" xfId="0" applyFont="1" applyFill="1" applyAlignment="1" applyProtection="1">
      <alignment horizontal="center" wrapText="1"/>
      <protection locked="0"/>
    </xf>
    <xf numFmtId="9" fontId="4" fillId="27" borderId="0" xfId="0" applyNumberFormat="1" applyFont="1" applyFill="1" applyAlignment="1" applyProtection="1">
      <alignment horizontal="center" wrapText="1"/>
      <protection locked="0"/>
    </xf>
    <xf numFmtId="3" fontId="91" fillId="0" borderId="22" xfId="0" applyNumberFormat="1" applyFont="1" applyBorder="1" applyAlignment="1" applyProtection="1">
      <alignment horizontal="center" vertical="center"/>
      <protection locked="0"/>
    </xf>
    <xf numFmtId="3" fontId="90" fillId="0" borderId="0" xfId="0" applyNumberFormat="1" applyFont="1" applyAlignment="1">
      <alignment vertical="center"/>
    </xf>
    <xf numFmtId="0" fontId="92" fillId="0" borderId="0" xfId="0" applyFont="1" applyAlignment="1">
      <alignment horizontal="center" vertical="center"/>
    </xf>
    <xf numFmtId="0" fontId="90" fillId="0" borderId="0" xfId="0" applyFont="1" applyAlignment="1">
      <alignment vertical="center"/>
    </xf>
    <xf numFmtId="165" fontId="82" fillId="0" borderId="12" xfId="0" applyNumberFormat="1" applyFont="1" applyBorder="1" applyAlignment="1" applyProtection="1">
      <alignment horizontal="center" vertical="center"/>
      <protection locked="0"/>
    </xf>
    <xf numFmtId="165" fontId="82" fillId="0" borderId="13" xfId="0" applyNumberFormat="1" applyFont="1" applyBorder="1" applyAlignment="1">
      <alignment horizontal="center" vertical="center"/>
    </xf>
    <xf numFmtId="0" fontId="60" fillId="0" borderId="0" xfId="0" applyFont="1"/>
    <xf numFmtId="0" fontId="59" fillId="0" borderId="14" xfId="0" applyFont="1" applyBorder="1" applyAlignment="1" applyProtection="1">
      <alignment horizontal="center" vertical="center"/>
      <protection locked="0"/>
    </xf>
    <xf numFmtId="0" fontId="82" fillId="0" borderId="0" xfId="0" applyFont="1" applyAlignment="1" applyProtection="1">
      <alignment horizontal="center"/>
      <protection locked="0"/>
    </xf>
    <xf numFmtId="0" fontId="59" fillId="0" borderId="12" xfId="0" applyFont="1" applyBorder="1" applyAlignment="1">
      <alignment vertical="center"/>
    </xf>
    <xf numFmtId="169" fontId="59" fillId="0" borderId="0" xfId="0" applyNumberFormat="1" applyFont="1" applyAlignment="1" applyProtection="1">
      <alignment vertical="center"/>
      <protection locked="0"/>
    </xf>
    <xf numFmtId="0" fontId="59" fillId="0" borderId="26" xfId="0" applyFont="1" applyBorder="1" applyAlignment="1" applyProtection="1">
      <alignment horizontal="center" vertical="center"/>
      <protection locked="0"/>
    </xf>
    <xf numFmtId="4" fontId="82" fillId="0" borderId="0" xfId="0" applyNumberFormat="1" applyFont="1" applyAlignment="1" applyProtection="1">
      <alignment horizontal="center" vertical="center"/>
      <protection locked="0"/>
    </xf>
    <xf numFmtId="4" fontId="82" fillId="0" borderId="12" xfId="0" applyNumberFormat="1" applyFont="1" applyBorder="1" applyAlignment="1" applyProtection="1">
      <alignment horizontal="center" vertical="center"/>
      <protection locked="0"/>
    </xf>
    <xf numFmtId="172" fontId="82" fillId="0" borderId="12" xfId="0" applyNumberFormat="1" applyFont="1" applyBorder="1" applyAlignment="1">
      <alignment horizontal="center" vertical="center"/>
    </xf>
    <xf numFmtId="165" fontId="82" fillId="0" borderId="12" xfId="0" applyNumberFormat="1" applyFont="1" applyBorder="1" applyAlignment="1">
      <alignment horizontal="center" vertical="center"/>
    </xf>
    <xf numFmtId="3" fontId="82" fillId="0" borderId="12" xfId="0" applyNumberFormat="1" applyFont="1" applyBorder="1" applyAlignment="1" applyProtection="1">
      <alignment horizontal="center" vertical="center"/>
      <protection locked="0"/>
    </xf>
    <xf numFmtId="168" fontId="82" fillId="0" borderId="12" xfId="0" applyNumberFormat="1" applyFont="1" applyBorder="1" applyAlignment="1" applyProtection="1">
      <alignment horizontal="center" vertical="center"/>
      <protection locked="0"/>
    </xf>
    <xf numFmtId="0" fontId="0" fillId="28" borderId="0" xfId="0" applyFill="1"/>
    <xf numFmtId="0" fontId="1" fillId="27" borderId="13" xfId="0" applyFont="1" applyFill="1" applyBorder="1" applyAlignment="1" applyProtection="1">
      <alignment vertical="center" wrapText="1"/>
      <protection locked="0"/>
    </xf>
    <xf numFmtId="3" fontId="1" fillId="27" borderId="13" xfId="0" applyNumberFormat="1" applyFont="1" applyFill="1" applyBorder="1" applyAlignment="1" applyProtection="1">
      <alignment vertical="center"/>
      <protection locked="0"/>
    </xf>
    <xf numFmtId="0" fontId="1" fillId="27" borderId="12" xfId="0" applyFont="1" applyFill="1" applyBorder="1" applyAlignment="1" applyProtection="1">
      <alignment vertical="center" wrapText="1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69" fontId="4" fillId="0" borderId="12" xfId="0" applyNumberFormat="1" applyFont="1" applyBorder="1" applyAlignment="1">
      <alignment horizontal="center" vertical="center"/>
    </xf>
    <xf numFmtId="9" fontId="4" fillId="0" borderId="0" xfId="0" applyNumberFormat="1" applyFont="1" applyAlignment="1" applyProtection="1">
      <alignment horizontal="center" wrapText="1"/>
      <protection locked="0"/>
    </xf>
    <xf numFmtId="167" fontId="82" fillId="0" borderId="12" xfId="0" applyNumberFormat="1" applyFont="1" applyBorder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left" wrapText="1"/>
      <protection locked="0"/>
    </xf>
    <xf numFmtId="0" fontId="33" fillId="27" borderId="0" xfId="0" applyFont="1" applyFill="1" applyAlignment="1">
      <alignment vertical="center" wrapText="1"/>
    </xf>
    <xf numFmtId="0" fontId="45" fillId="27" borderId="0" xfId="35" applyFill="1" applyAlignment="1" applyProtection="1">
      <alignment vertical="center"/>
    </xf>
    <xf numFmtId="0" fontId="93" fillId="27" borderId="0" xfId="0" applyFont="1" applyFill="1" applyAlignment="1">
      <alignment horizontal="center" vertical="center" wrapText="1"/>
    </xf>
    <xf numFmtId="170" fontId="82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0" xfId="28" applyNumberFormat="1" applyFont="1" applyFill="1" applyBorder="1" applyAlignment="1">
      <alignment wrapText="1"/>
    </xf>
    <xf numFmtId="0" fontId="1" fillId="0" borderId="35" xfId="0" applyFont="1" applyBorder="1" applyAlignment="1" applyProtection="1">
      <alignment wrapText="1"/>
      <protection locked="0"/>
    </xf>
    <xf numFmtId="0" fontId="95" fillId="0" borderId="0" xfId="0" applyFont="1" applyAlignment="1">
      <alignment horizontal="right"/>
    </xf>
    <xf numFmtId="0" fontId="96" fillId="0" borderId="0" xfId="0" applyFont="1" applyAlignment="1">
      <alignment horizontal="right"/>
    </xf>
    <xf numFmtId="0" fontId="95" fillId="0" borderId="0" xfId="0" applyFont="1" applyAlignment="1">
      <alignment horizontal="left" wrapText="1"/>
    </xf>
    <xf numFmtId="3" fontId="97" fillId="0" borderId="0" xfId="0" applyNumberFormat="1" applyFont="1"/>
    <xf numFmtId="3" fontId="97" fillId="0" borderId="0" xfId="0" applyNumberFormat="1" applyFont="1" applyAlignment="1">
      <alignment vertical="center"/>
    </xf>
    <xf numFmtId="0" fontId="95" fillId="0" borderId="0" xfId="0" applyFont="1" applyAlignment="1">
      <alignment horizontal="right" vertical="center"/>
    </xf>
    <xf numFmtId="176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 applyProtection="1">
      <alignment horizontal="center" vertical="center"/>
      <protection locked="0"/>
    </xf>
    <xf numFmtId="165" fontId="88" fillId="0" borderId="10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 applyProtection="1">
      <alignment vertical="center"/>
      <protection locked="0"/>
    </xf>
    <xf numFmtId="0" fontId="14" fillId="28" borderId="12" xfId="0" applyFont="1" applyFill="1" applyBorder="1" applyAlignment="1" applyProtection="1">
      <alignment vertical="center" wrapText="1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97" fillId="28" borderId="0" xfId="0" applyNumberFormat="1" applyFont="1" applyFill="1" applyAlignment="1">
      <alignment vertical="center"/>
    </xf>
    <xf numFmtId="0" fontId="14" fillId="28" borderId="13" xfId="0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26" fillId="28" borderId="12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3" fontId="4" fillId="28" borderId="0" xfId="0" applyNumberFormat="1" applyFont="1" applyFill="1" applyAlignment="1">
      <alignment horizontal="center" vertical="center"/>
    </xf>
    <xf numFmtId="3" fontId="28" fillId="28" borderId="0" xfId="0" applyNumberFormat="1" applyFont="1" applyFill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84" fillId="0" borderId="0" xfId="0" applyFont="1"/>
    <xf numFmtId="3" fontId="4" fillId="0" borderId="37" xfId="0" applyNumberFormat="1" applyFont="1" applyBorder="1" applyAlignment="1">
      <alignment horizontal="right" vertical="center"/>
    </xf>
    <xf numFmtId="3" fontId="30" fillId="25" borderId="38" xfId="0" applyNumberFormat="1" applyFont="1" applyFill="1" applyBorder="1" applyAlignment="1">
      <alignment vertical="center"/>
    </xf>
    <xf numFmtId="0" fontId="45" fillId="0" borderId="0" xfId="35" applyBorder="1" applyAlignment="1" applyProtection="1">
      <alignment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3" fontId="30" fillId="25" borderId="4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85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99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7" fillId="24" borderId="0" xfId="0" applyFont="1" applyFill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0" fillId="29" borderId="0" xfId="0" applyFill="1" applyAlignment="1">
      <alignment horizontal="left"/>
    </xf>
    <xf numFmtId="0" fontId="75" fillId="29" borderId="0" xfId="0" applyFont="1" applyFill="1" applyAlignment="1">
      <alignment horizontal="left"/>
    </xf>
    <xf numFmtId="0" fontId="0" fillId="29" borderId="0" xfId="0" applyFill="1" applyAlignment="1">
      <alignment horizontal="right"/>
    </xf>
    <xf numFmtId="0" fontId="8" fillId="29" borderId="0" xfId="0" applyFont="1" applyFill="1" applyAlignment="1">
      <alignment horizontal="center"/>
    </xf>
    <xf numFmtId="0" fontId="0" fillId="29" borderId="0" xfId="0" applyFill="1" applyAlignment="1">
      <alignment horizontal="right" vertical="center"/>
    </xf>
    <xf numFmtId="169" fontId="82" fillId="29" borderId="12" xfId="0" applyNumberFormat="1" applyFont="1" applyFill="1" applyBorder="1" applyAlignment="1">
      <alignment horizontal="center" vertical="center"/>
    </xf>
    <xf numFmtId="0" fontId="0" fillId="29" borderId="0" xfId="0" applyFill="1" applyAlignment="1">
      <alignment horizontal="left" vertical="center"/>
    </xf>
    <xf numFmtId="0" fontId="8" fillId="29" borderId="0" xfId="0" applyFont="1" applyFill="1" applyAlignment="1">
      <alignment horizontal="center" vertical="center"/>
    </xf>
    <xf numFmtId="3" fontId="101" fillId="30" borderId="0" xfId="0" applyNumberFormat="1" applyFont="1" applyFill="1"/>
    <xf numFmtId="0" fontId="100" fillId="0" borderId="0" xfId="0" applyFont="1" applyAlignment="1">
      <alignment wrapText="1"/>
    </xf>
    <xf numFmtId="0" fontId="32" fillId="29" borderId="0" xfId="0" applyFont="1" applyFill="1" applyAlignment="1">
      <alignment vertical="center"/>
    </xf>
    <xf numFmtId="0" fontId="59" fillId="29" borderId="0" xfId="0" applyFont="1" applyFill="1" applyAlignment="1" applyProtection="1">
      <alignment vertical="center" wrapText="1"/>
      <protection locked="0"/>
    </xf>
    <xf numFmtId="164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27" borderId="0" xfId="0" applyFont="1" applyFill="1" applyAlignment="1">
      <alignment vertical="center" wrapText="1"/>
    </xf>
    <xf numFmtId="0" fontId="87" fillId="27" borderId="0" xfId="0" applyFont="1" applyFill="1" applyAlignment="1">
      <alignment vertical="center" wrapText="1"/>
    </xf>
    <xf numFmtId="172" fontId="103" fillId="0" borderId="0" xfId="0" applyNumberFormat="1" applyFont="1" applyAlignment="1">
      <alignment vertical="center"/>
    </xf>
    <xf numFmtId="188" fontId="82" fillId="0" borderId="12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187" fontId="1" fillId="0" borderId="18" xfId="0" applyNumberFormat="1" applyFont="1" applyBorder="1" applyAlignment="1">
      <alignment horizontal="center"/>
    </xf>
    <xf numFmtId="4" fontId="59" fillId="0" borderId="0" xfId="0" applyNumberFormat="1" applyFont="1" applyAlignment="1" applyProtection="1">
      <alignment vertical="center" wrapText="1"/>
      <protection locked="0"/>
    </xf>
    <xf numFmtId="0" fontId="85" fillId="28" borderId="12" xfId="0" applyFont="1" applyFill="1" applyBorder="1" applyAlignment="1">
      <alignment horizontal="left" vertical="center" wrapText="1"/>
    </xf>
    <xf numFmtId="0" fontId="1" fillId="31" borderId="12" xfId="0" applyFont="1" applyFill="1" applyBorder="1" applyAlignment="1" applyProtection="1">
      <alignment vertical="center" wrapText="1"/>
      <protection locked="0"/>
    </xf>
    <xf numFmtId="3" fontId="1" fillId="31" borderId="12" xfId="0" applyNumberFormat="1" applyFont="1" applyFill="1" applyBorder="1" applyAlignment="1" applyProtection="1">
      <alignment vertical="center"/>
      <protection locked="0"/>
    </xf>
    <xf numFmtId="3" fontId="1" fillId="31" borderId="13" xfId="0" applyNumberFormat="1" applyFont="1" applyFill="1" applyBorder="1" applyAlignment="1" applyProtection="1">
      <alignment vertical="center"/>
      <protection locked="0"/>
    </xf>
    <xf numFmtId="3" fontId="97" fillId="31" borderId="0" xfId="0" applyNumberFormat="1" applyFont="1" applyFill="1"/>
    <xf numFmtId="0" fontId="0" fillId="31" borderId="0" xfId="0" applyFill="1"/>
    <xf numFmtId="0" fontId="108" fillId="31" borderId="0" xfId="0" applyFont="1" applyFill="1"/>
    <xf numFmtId="3" fontId="0" fillId="31" borderId="0" xfId="0" applyNumberFormat="1" applyFill="1"/>
    <xf numFmtId="0" fontId="3" fillId="0" borderId="48" xfId="0" applyFont="1" applyBorder="1" applyAlignment="1">
      <alignment horizontal="center"/>
    </xf>
    <xf numFmtId="164" fontId="104" fillId="0" borderId="48" xfId="0" applyNumberFormat="1" applyFont="1" applyBorder="1" applyAlignment="1">
      <alignment horizontal="center" vertical="center"/>
    </xf>
    <xf numFmtId="164" fontId="24" fillId="0" borderId="0" xfId="28" applyNumberFormat="1" applyFont="1" applyAlignment="1">
      <alignment vertical="center"/>
    </xf>
    <xf numFmtId="192" fontId="0" fillId="0" borderId="0" xfId="0" applyNumberFormat="1"/>
    <xf numFmtId="192" fontId="0" fillId="0" borderId="0" xfId="28" applyNumberFormat="1" applyFont="1"/>
    <xf numFmtId="172" fontId="82" fillId="0" borderId="13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vertical="center" wrapText="1"/>
    </xf>
    <xf numFmtId="3" fontId="54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0" fontId="0" fillId="32" borderId="0" xfId="0" applyFill="1"/>
    <xf numFmtId="168" fontId="4" fillId="32" borderId="10" xfId="0" applyNumberFormat="1" applyFont="1" applyFill="1" applyBorder="1" applyAlignment="1">
      <alignment horizontal="center"/>
    </xf>
    <xf numFmtId="176" fontId="4" fillId="32" borderId="18" xfId="0" applyNumberFormat="1" applyFont="1" applyFill="1" applyBorder="1" applyAlignment="1">
      <alignment horizontal="center"/>
    </xf>
    <xf numFmtId="177" fontId="1" fillId="32" borderId="18" xfId="0" applyNumberFormat="1" applyFont="1" applyFill="1" applyBorder="1" applyAlignment="1">
      <alignment horizontal="center"/>
    </xf>
    <xf numFmtId="178" fontId="1" fillId="32" borderId="18" xfId="0" applyNumberFormat="1" applyFont="1" applyFill="1" applyBorder="1" applyAlignment="1">
      <alignment horizontal="center"/>
    </xf>
    <xf numFmtId="181" fontId="1" fillId="32" borderId="18" xfId="0" applyNumberFormat="1" applyFont="1" applyFill="1" applyBorder="1" applyAlignment="1">
      <alignment horizontal="center"/>
    </xf>
    <xf numFmtId="179" fontId="4" fillId="32" borderId="19" xfId="0" applyNumberFormat="1" applyFont="1" applyFill="1" applyBorder="1" applyAlignment="1">
      <alignment horizontal="center"/>
    </xf>
    <xf numFmtId="171" fontId="82" fillId="0" borderId="12" xfId="0" applyNumberFormat="1" applyFont="1" applyBorder="1" applyAlignment="1">
      <alignment horizontal="center" vertical="center"/>
    </xf>
    <xf numFmtId="3" fontId="98" fillId="0" borderId="0" xfId="0" applyNumberFormat="1" applyFont="1" applyAlignment="1" applyProtection="1">
      <alignment horizontal="right"/>
      <protection locked="0"/>
    </xf>
    <xf numFmtId="0" fontId="115" fillId="0" borderId="0" xfId="0" applyFont="1" applyAlignment="1">
      <alignment vertical="center"/>
    </xf>
    <xf numFmtId="170" fontId="4" fillId="0" borderId="34" xfId="0" applyNumberFormat="1" applyFont="1" applyBorder="1" applyAlignment="1">
      <alignment horizontal="center" vertical="center"/>
    </xf>
    <xf numFmtId="189" fontId="98" fillId="0" borderId="44" xfId="0" applyNumberFormat="1" applyFont="1" applyBorder="1" applyAlignment="1">
      <alignment horizontal="center" vertical="center"/>
    </xf>
    <xf numFmtId="184" fontId="4" fillId="0" borderId="19" xfId="0" applyNumberFormat="1" applyFont="1" applyBorder="1" applyAlignment="1">
      <alignment horizontal="center" vertical="center"/>
    </xf>
    <xf numFmtId="164" fontId="5" fillId="0" borderId="20" xfId="28" applyNumberFormat="1" applyFont="1" applyFill="1" applyBorder="1" applyAlignment="1">
      <alignment horizontal="center" vertical="center" wrapText="1"/>
    </xf>
    <xf numFmtId="0" fontId="113" fillId="0" borderId="12" xfId="0" applyFont="1" applyBorder="1" applyAlignment="1" applyProtection="1">
      <alignment vertical="center" wrapText="1"/>
      <protection locked="0"/>
    </xf>
    <xf numFmtId="190" fontId="82" fillId="0" borderId="12" xfId="0" applyNumberFormat="1" applyFont="1" applyBorder="1" applyAlignment="1">
      <alignment horizontal="center" vertical="center"/>
    </xf>
    <xf numFmtId="0" fontId="89" fillId="0" borderId="0" xfId="0" applyFont="1" applyAlignment="1">
      <alignment vertical="center"/>
    </xf>
    <xf numFmtId="0" fontId="102" fillId="0" borderId="0" xfId="0" applyFont="1" applyAlignment="1" applyProtection="1">
      <alignment horizontal="center" wrapText="1"/>
      <protection locked="0"/>
    </xf>
    <xf numFmtId="0" fontId="111" fillId="0" borderId="0" xfId="0" applyFont="1" applyAlignment="1">
      <alignment vertical="center"/>
    </xf>
    <xf numFmtId="0" fontId="57" fillId="29" borderId="0" xfId="0" applyFont="1" applyFill="1" applyAlignment="1">
      <alignment vertical="center"/>
    </xf>
    <xf numFmtId="0" fontId="111" fillId="29" borderId="0" xfId="0" applyFont="1" applyFill="1" applyAlignment="1">
      <alignment vertical="center"/>
    </xf>
    <xf numFmtId="3" fontId="114" fillId="0" borderId="13" xfId="0" applyNumberFormat="1" applyFont="1" applyBorder="1" applyAlignment="1" applyProtection="1">
      <alignment horizontal="center" vertical="center"/>
      <protection locked="0"/>
    </xf>
    <xf numFmtId="0" fontId="116" fillId="27" borderId="0" xfId="0" applyFont="1" applyFill="1" applyAlignment="1">
      <alignment horizontal="left" vertical="center"/>
    </xf>
    <xf numFmtId="3" fontId="116" fillId="27" borderId="0" xfId="0" applyNumberFormat="1" applyFont="1" applyFill="1" applyAlignment="1">
      <alignment horizontal="left" vertical="center"/>
    </xf>
    <xf numFmtId="0" fontId="116" fillId="0" borderId="0" xfId="0" applyFont="1" applyAlignment="1">
      <alignment horizontal="left" vertical="center"/>
    </xf>
    <xf numFmtId="3" fontId="116" fillId="0" borderId="0" xfId="0" applyNumberFormat="1" applyFont="1" applyAlignment="1">
      <alignment vertical="center"/>
    </xf>
    <xf numFmtId="0" fontId="116" fillId="0" borderId="0" xfId="0" applyFont="1" applyAlignment="1">
      <alignment vertical="center"/>
    </xf>
    <xf numFmtId="0" fontId="98" fillId="0" borderId="12" xfId="0" applyFont="1" applyBorder="1" applyAlignment="1" applyProtection="1">
      <alignment horizontal="center" vertical="center"/>
      <protection locked="0"/>
    </xf>
    <xf numFmtId="3" fontId="82" fillId="0" borderId="30" xfId="0" applyNumberFormat="1" applyFont="1" applyBorder="1" applyAlignment="1" applyProtection="1">
      <alignment horizontal="center" vertical="center"/>
      <protection locked="0"/>
    </xf>
    <xf numFmtId="184" fontId="82" fillId="0" borderId="13" xfId="0" applyNumberFormat="1" applyFont="1" applyBorder="1" applyAlignment="1">
      <alignment horizontal="center" vertical="center"/>
    </xf>
    <xf numFmtId="166" fontId="59" fillId="0" borderId="0" xfId="0" applyNumberFormat="1" applyFont="1" applyAlignment="1" applyProtection="1">
      <alignment vertical="center"/>
      <protection locked="0"/>
    </xf>
    <xf numFmtId="3" fontId="110" fillId="0" borderId="12" xfId="0" applyNumberFormat="1" applyFont="1" applyBorder="1" applyAlignment="1" applyProtection="1">
      <alignment vertical="center"/>
      <protection locked="0"/>
    </xf>
    <xf numFmtId="0" fontId="110" fillId="0" borderId="12" xfId="0" applyFont="1" applyBorder="1" applyAlignment="1" applyProtection="1">
      <alignment horizontal="center" vertical="center"/>
      <protection locked="0"/>
    </xf>
    <xf numFmtId="169" fontId="82" fillId="0" borderId="12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/>
    </xf>
    <xf numFmtId="0" fontId="32" fillId="0" borderId="0" xfId="0" applyFont="1"/>
    <xf numFmtId="3" fontId="94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32" fillId="29" borderId="0" xfId="0" applyFont="1" applyFill="1" applyAlignment="1">
      <alignment horizontal="right"/>
    </xf>
    <xf numFmtId="3" fontId="4" fillId="0" borderId="13" xfId="0" applyNumberFormat="1" applyFont="1" applyBorder="1" applyProtection="1">
      <protection locked="0"/>
    </xf>
    <xf numFmtId="3" fontId="4" fillId="0" borderId="21" xfId="0" applyNumberFormat="1" applyFont="1" applyBorder="1" applyAlignment="1" applyProtection="1">
      <alignment horizontal="right" wrapText="1"/>
      <protection locked="0"/>
    </xf>
    <xf numFmtId="0" fontId="32" fillId="29" borderId="0" xfId="0" applyFont="1" applyFill="1" applyAlignment="1">
      <alignment horizontal="center"/>
    </xf>
    <xf numFmtId="0" fontId="32" fillId="29" borderId="0" xfId="0" applyFont="1" applyFill="1" applyAlignment="1">
      <alignment horizontal="right" vertical="center"/>
    </xf>
    <xf numFmtId="3" fontId="117" fillId="0" borderId="0" xfId="0" applyNumberFormat="1" applyFont="1" applyAlignment="1">
      <alignment horizontal="left" vertical="center"/>
    </xf>
    <xf numFmtId="3" fontId="117" fillId="0" borderId="0" xfId="0" applyNumberFormat="1" applyFont="1"/>
    <xf numFmtId="3" fontId="116" fillId="0" borderId="0" xfId="0" applyNumberFormat="1" applyFont="1" applyAlignment="1">
      <alignment horizontal="left" vertical="center"/>
    </xf>
    <xf numFmtId="3" fontId="117" fillId="0" borderId="0" xfId="0" applyNumberFormat="1" applyFont="1" applyAlignment="1">
      <alignment vertical="center"/>
    </xf>
    <xf numFmtId="0" fontId="116" fillId="0" borderId="0" xfId="0" applyFont="1" applyAlignment="1">
      <alignment horizontal="right"/>
    </xf>
    <xf numFmtId="0" fontId="32" fillId="29" borderId="0" xfId="0" applyFont="1" applyFill="1" applyAlignment="1">
      <alignment horizontal="left"/>
    </xf>
    <xf numFmtId="165" fontId="118" fillId="0" borderId="12" xfId="0" applyNumberFormat="1" applyFont="1" applyBorder="1" applyAlignment="1">
      <alignment horizontal="center" vertical="center"/>
    </xf>
    <xf numFmtId="0" fontId="5" fillId="28" borderId="0" xfId="0" applyFont="1" applyFill="1" applyAlignment="1" applyProtection="1">
      <alignment horizontal="center" vertical="center"/>
      <protection locked="0"/>
    </xf>
    <xf numFmtId="171" fontId="82" fillId="0" borderId="12" xfId="0" applyNumberFormat="1" applyFont="1" applyBorder="1" applyAlignment="1" applyProtection="1">
      <alignment horizontal="center" vertical="center"/>
      <protection locked="0"/>
    </xf>
    <xf numFmtId="181" fontId="59" fillId="0" borderId="13" xfId="0" applyNumberFormat="1" applyFont="1" applyBorder="1" applyAlignment="1" applyProtection="1">
      <alignment vertical="center"/>
      <protection locked="0"/>
    </xf>
    <xf numFmtId="187" fontId="59" fillId="0" borderId="13" xfId="0" applyNumberFormat="1" applyFont="1" applyBorder="1" applyAlignment="1" applyProtection="1">
      <alignment vertical="center"/>
      <protection locked="0"/>
    </xf>
    <xf numFmtId="186" fontId="59" fillId="0" borderId="13" xfId="0" applyNumberFormat="1" applyFont="1" applyBorder="1" applyAlignment="1" applyProtection="1">
      <alignment vertical="center"/>
      <protection locked="0"/>
    </xf>
    <xf numFmtId="166" fontId="59" fillId="0" borderId="12" xfId="0" applyNumberFormat="1" applyFont="1" applyBorder="1" applyAlignment="1">
      <alignment horizontal="center"/>
    </xf>
    <xf numFmtId="168" fontId="59" fillId="0" borderId="12" xfId="0" applyNumberFormat="1" applyFont="1" applyBorder="1" applyAlignment="1">
      <alignment horizontal="center"/>
    </xf>
    <xf numFmtId="181" fontId="119" fillId="0" borderId="13" xfId="0" applyNumberFormat="1" applyFont="1" applyBorder="1" applyAlignment="1" applyProtection="1">
      <alignment vertical="center"/>
      <protection locked="0"/>
    </xf>
    <xf numFmtId="168" fontId="119" fillId="0" borderId="12" xfId="0" applyNumberFormat="1" applyFont="1" applyBorder="1" applyAlignment="1">
      <alignment horizontal="center"/>
    </xf>
    <xf numFmtId="166" fontId="119" fillId="0" borderId="12" xfId="0" applyNumberFormat="1" applyFont="1" applyBorder="1" applyAlignment="1">
      <alignment horizontal="center"/>
    </xf>
    <xf numFmtId="0" fontId="119" fillId="0" borderId="0" xfId="0" applyFont="1"/>
    <xf numFmtId="164" fontId="118" fillId="0" borderId="0" xfId="28" applyNumberFormat="1" applyFont="1" applyFill="1" applyBorder="1" applyAlignment="1" applyProtection="1">
      <protection locked="0"/>
    </xf>
    <xf numFmtId="0" fontId="119" fillId="0" borderId="0" xfId="0" applyFont="1" applyAlignment="1">
      <alignment horizontal="left" wrapText="1"/>
    </xf>
    <xf numFmtId="3" fontId="119" fillId="0" borderId="31" xfId="0" applyNumberFormat="1" applyFont="1" applyBorder="1" applyAlignment="1" applyProtection="1">
      <alignment horizontal="center" vertical="center"/>
      <protection locked="0"/>
    </xf>
    <xf numFmtId="0" fontId="119" fillId="0" borderId="0" xfId="0" applyFont="1" applyAlignment="1">
      <alignment horizontal="center" wrapText="1"/>
    </xf>
    <xf numFmtId="3" fontId="119" fillId="0" borderId="20" xfId="0" applyNumberFormat="1" applyFont="1" applyBorder="1" applyAlignment="1" applyProtection="1">
      <alignment horizontal="center" vertical="center"/>
      <protection locked="0"/>
    </xf>
    <xf numFmtId="167" fontId="119" fillId="0" borderId="12" xfId="0" applyNumberFormat="1" applyFont="1" applyBorder="1" applyAlignment="1">
      <alignment horizontal="center"/>
    </xf>
    <xf numFmtId="167" fontId="119" fillId="0" borderId="13" xfId="0" applyNumberFormat="1" applyFont="1" applyBorder="1" applyAlignment="1">
      <alignment horizontal="center" vertical="center"/>
    </xf>
    <xf numFmtId="167" fontId="119" fillId="0" borderId="12" xfId="0" applyNumberFormat="1" applyFont="1" applyBorder="1" applyAlignment="1">
      <alignment horizontal="center" vertical="center"/>
    </xf>
    <xf numFmtId="166" fontId="119" fillId="0" borderId="12" xfId="0" applyNumberFormat="1" applyFont="1" applyBorder="1" applyAlignment="1">
      <alignment horizontal="center" vertical="center"/>
    </xf>
    <xf numFmtId="0" fontId="119" fillId="0" borderId="0" xfId="0" applyFont="1" applyAlignment="1">
      <alignment vertical="center"/>
    </xf>
    <xf numFmtId="167" fontId="119" fillId="31" borderId="13" xfId="0" applyNumberFormat="1" applyFont="1" applyFill="1" applyBorder="1" applyAlignment="1" applyProtection="1">
      <alignment horizontal="center" vertical="center"/>
      <protection locked="0"/>
    </xf>
    <xf numFmtId="174" fontId="119" fillId="31" borderId="12" xfId="0" applyNumberFormat="1" applyFont="1" applyFill="1" applyBorder="1" applyAlignment="1">
      <alignment horizontal="center" vertical="center"/>
    </xf>
    <xf numFmtId="190" fontId="119" fillId="31" borderId="13" xfId="0" applyNumberFormat="1" applyFont="1" applyFill="1" applyBorder="1" applyAlignment="1" applyProtection="1">
      <alignment horizontal="center" vertical="center"/>
      <protection locked="0"/>
    </xf>
    <xf numFmtId="171" fontId="119" fillId="31" borderId="13" xfId="0" applyNumberFormat="1" applyFont="1" applyFill="1" applyBorder="1" applyAlignment="1" applyProtection="1">
      <alignment horizontal="center" vertical="center"/>
      <protection locked="0"/>
    </xf>
    <xf numFmtId="186" fontId="119" fillId="31" borderId="13" xfId="0" applyNumberFormat="1" applyFont="1" applyFill="1" applyBorder="1" applyAlignment="1" applyProtection="1">
      <alignment horizontal="center" vertical="center"/>
      <protection locked="0"/>
    </xf>
    <xf numFmtId="183" fontId="119" fillId="31" borderId="13" xfId="0" applyNumberFormat="1" applyFont="1" applyFill="1" applyBorder="1" applyAlignment="1" applyProtection="1">
      <alignment horizontal="center" vertical="center"/>
      <protection locked="0"/>
    </xf>
    <xf numFmtId="167" fontId="119" fillId="0" borderId="13" xfId="0" applyNumberFormat="1" applyFont="1" applyBorder="1" applyAlignment="1">
      <alignment horizontal="center"/>
    </xf>
    <xf numFmtId="178" fontId="119" fillId="0" borderId="13" xfId="0" applyNumberFormat="1" applyFont="1" applyBorder="1" applyAlignment="1">
      <alignment horizontal="center"/>
    </xf>
    <xf numFmtId="3" fontId="118" fillId="0" borderId="20" xfId="0" applyNumberFormat="1" applyFont="1" applyBorder="1" applyAlignment="1" applyProtection="1">
      <alignment horizontal="center" vertical="center"/>
      <protection locked="0"/>
    </xf>
    <xf numFmtId="182" fontId="119" fillId="0" borderId="12" xfId="0" applyNumberFormat="1" applyFont="1" applyBorder="1" applyAlignment="1">
      <alignment horizontal="center" vertical="center"/>
    </xf>
    <xf numFmtId="191" fontId="119" fillId="0" borderId="13" xfId="0" applyNumberFormat="1" applyFont="1" applyBorder="1" applyAlignment="1" applyProtection="1">
      <alignment horizontal="center" vertical="center"/>
      <protection locked="0"/>
    </xf>
    <xf numFmtId="183" fontId="119" fillId="0" borderId="13" xfId="0" applyNumberFormat="1" applyFont="1" applyBorder="1" applyAlignment="1" applyProtection="1">
      <alignment horizontal="center" vertical="center"/>
      <protection locked="0"/>
    </xf>
    <xf numFmtId="177" fontId="119" fillId="0" borderId="12" xfId="0" applyNumberFormat="1" applyFont="1" applyBorder="1" applyAlignment="1" applyProtection="1">
      <alignment horizontal="center" vertical="center"/>
      <protection locked="0"/>
    </xf>
    <xf numFmtId="166" fontId="119" fillId="28" borderId="13" xfId="0" applyNumberFormat="1" applyFont="1" applyFill="1" applyBorder="1" applyAlignment="1">
      <alignment horizontal="center" vertical="center"/>
    </xf>
    <xf numFmtId="3" fontId="119" fillId="0" borderId="13" xfId="0" applyNumberFormat="1" applyFont="1" applyBorder="1" applyAlignment="1" applyProtection="1">
      <alignment horizontal="center" vertical="center"/>
      <protection locked="0"/>
    </xf>
    <xf numFmtId="166" fontId="119" fillId="0" borderId="13" xfId="0" applyNumberFormat="1" applyFont="1" applyBorder="1" applyAlignment="1">
      <alignment horizontal="center"/>
    </xf>
    <xf numFmtId="172" fontId="119" fillId="0" borderId="13" xfId="0" applyNumberFormat="1" applyFont="1" applyBorder="1" applyAlignment="1">
      <alignment horizontal="center"/>
    </xf>
    <xf numFmtId="166" fontId="119" fillId="0" borderId="12" xfId="0" applyNumberFormat="1" applyFont="1" applyBorder="1" applyAlignment="1" applyProtection="1">
      <alignment horizontal="center"/>
      <protection locked="0"/>
    </xf>
    <xf numFmtId="3" fontId="119" fillId="0" borderId="50" xfId="0" applyNumberFormat="1" applyFont="1" applyBorder="1" applyAlignment="1" applyProtection="1">
      <alignment horizontal="center" vertical="center"/>
      <protection locked="0"/>
    </xf>
    <xf numFmtId="173" fontId="119" fillId="0" borderId="12" xfId="0" applyNumberFormat="1" applyFont="1" applyBorder="1" applyAlignment="1">
      <alignment horizontal="center"/>
    </xf>
    <xf numFmtId="186" fontId="119" fillId="0" borderId="12" xfId="0" applyNumberFormat="1" applyFont="1" applyBorder="1" applyAlignment="1">
      <alignment horizontal="center"/>
    </xf>
    <xf numFmtId="185" fontId="119" fillId="0" borderId="12" xfId="0" applyNumberFormat="1" applyFont="1" applyBorder="1" applyAlignment="1">
      <alignment horizontal="center"/>
    </xf>
    <xf numFmtId="167" fontId="119" fillId="0" borderId="12" xfId="0" applyNumberFormat="1" applyFont="1" applyBorder="1" applyAlignment="1" applyProtection="1">
      <alignment horizontal="center"/>
      <protection locked="0"/>
    </xf>
    <xf numFmtId="3" fontId="119" fillId="0" borderId="12" xfId="0" applyNumberFormat="1" applyFont="1" applyBorder="1" applyAlignment="1" applyProtection="1">
      <alignment horizontal="center"/>
      <protection locked="0"/>
    </xf>
    <xf numFmtId="3" fontId="119" fillId="0" borderId="12" xfId="0" applyNumberFormat="1" applyFont="1" applyBorder="1"/>
    <xf numFmtId="0" fontId="59" fillId="0" borderId="0" xfId="0" applyFont="1" applyAlignment="1" applyProtection="1">
      <alignment vertical="center"/>
      <protection locked="0"/>
    </xf>
    <xf numFmtId="0" fontId="59" fillId="0" borderId="0" xfId="0" applyFont="1"/>
    <xf numFmtId="3" fontId="59" fillId="0" borderId="0" xfId="0" applyNumberFormat="1" applyFont="1" applyAlignment="1" applyProtection="1">
      <alignment horizontal="center"/>
      <protection locked="0"/>
    </xf>
    <xf numFmtId="3" fontId="59" fillId="0" borderId="14" xfId="0" applyNumberFormat="1" applyFont="1" applyBorder="1" applyAlignment="1" applyProtection="1">
      <alignment horizontal="center"/>
      <protection locked="0"/>
    </xf>
    <xf numFmtId="3" fontId="59" fillId="0" borderId="13" xfId="0" applyNumberFormat="1" applyFont="1" applyBorder="1" applyAlignment="1" applyProtection="1">
      <alignment horizontal="center"/>
      <protection locked="0"/>
    </xf>
    <xf numFmtId="3" fontId="59" fillId="0" borderId="12" xfId="0" applyNumberFormat="1" applyFont="1" applyBorder="1" applyAlignment="1" applyProtection="1">
      <alignment horizontal="center"/>
      <protection locked="0"/>
    </xf>
    <xf numFmtId="3" fontId="59" fillId="0" borderId="0" xfId="0" applyNumberFormat="1" applyFont="1"/>
    <xf numFmtId="3" fontId="59" fillId="0" borderId="0" xfId="0" applyNumberFormat="1" applyFont="1" applyAlignment="1" applyProtection="1">
      <alignment horizontal="center" wrapText="1"/>
      <protection locked="0"/>
    </xf>
    <xf numFmtId="167" fontId="59" fillId="0" borderId="12" xfId="0" applyNumberFormat="1" applyFont="1" applyBorder="1" applyAlignment="1">
      <alignment horizontal="center"/>
    </xf>
    <xf numFmtId="167" fontId="59" fillId="0" borderId="13" xfId="0" applyNumberFormat="1" applyFont="1" applyBorder="1" applyAlignment="1">
      <alignment horizontal="center"/>
    </xf>
    <xf numFmtId="167" fontId="59" fillId="0" borderId="13" xfId="0" applyNumberFormat="1" applyFont="1" applyBorder="1" applyAlignment="1">
      <alignment horizontal="center" vertical="center"/>
    </xf>
    <xf numFmtId="167" fontId="59" fillId="0" borderId="12" xfId="0" applyNumberFormat="1" applyFont="1" applyBorder="1" applyAlignment="1">
      <alignment horizontal="center" vertical="center"/>
    </xf>
    <xf numFmtId="166" fontId="59" fillId="0" borderId="12" xfId="0" applyNumberFormat="1" applyFont="1" applyBorder="1" applyAlignment="1">
      <alignment horizontal="center" vertical="center"/>
    </xf>
    <xf numFmtId="175" fontId="59" fillId="0" borderId="12" xfId="0" applyNumberFormat="1" applyFont="1" applyBorder="1" applyAlignment="1">
      <alignment horizontal="center"/>
    </xf>
    <xf numFmtId="167" fontId="59" fillId="31" borderId="13" xfId="0" applyNumberFormat="1" applyFont="1" applyFill="1" applyBorder="1" applyAlignment="1" applyProtection="1">
      <alignment horizontal="center" vertical="center"/>
      <protection locked="0"/>
    </xf>
    <xf numFmtId="174" fontId="59" fillId="31" borderId="12" xfId="0" applyNumberFormat="1" applyFont="1" applyFill="1" applyBorder="1" applyAlignment="1">
      <alignment horizontal="center" vertical="center"/>
    </xf>
    <xf numFmtId="190" fontId="59" fillId="31" borderId="13" xfId="0" applyNumberFormat="1" applyFont="1" applyFill="1" applyBorder="1" applyAlignment="1" applyProtection="1">
      <alignment horizontal="center" vertical="center"/>
      <protection locked="0"/>
    </xf>
    <xf numFmtId="171" fontId="59" fillId="31" borderId="13" xfId="0" applyNumberFormat="1" applyFont="1" applyFill="1" applyBorder="1" applyAlignment="1" applyProtection="1">
      <alignment horizontal="center" vertical="center"/>
      <protection locked="0"/>
    </xf>
    <xf numFmtId="186" fontId="59" fillId="31" borderId="13" xfId="0" applyNumberFormat="1" applyFont="1" applyFill="1" applyBorder="1" applyAlignment="1" applyProtection="1">
      <alignment horizontal="center" vertical="center"/>
      <protection locked="0"/>
    </xf>
    <xf numFmtId="183" fontId="59" fillId="31" borderId="13" xfId="0" applyNumberFormat="1" applyFont="1" applyFill="1" applyBorder="1" applyAlignment="1" applyProtection="1">
      <alignment horizontal="center" vertical="center"/>
      <protection locked="0"/>
    </xf>
    <xf numFmtId="181" fontId="59" fillId="0" borderId="13" xfId="0" applyNumberFormat="1" applyFont="1" applyBorder="1" applyAlignment="1">
      <alignment horizontal="center"/>
    </xf>
    <xf numFmtId="178" fontId="59" fillId="0" borderId="13" xfId="0" applyNumberFormat="1" applyFont="1" applyBorder="1" applyAlignment="1">
      <alignment horizontal="center" vertical="center"/>
    </xf>
    <xf numFmtId="169" fontId="59" fillId="0" borderId="13" xfId="0" applyNumberFormat="1" applyFont="1" applyBorder="1" applyAlignment="1">
      <alignment horizontal="center"/>
    </xf>
    <xf numFmtId="182" fontId="59" fillId="0" borderId="13" xfId="0" applyNumberFormat="1" applyFont="1" applyBorder="1" applyAlignment="1">
      <alignment horizontal="center"/>
    </xf>
    <xf numFmtId="166" fontId="59" fillId="0" borderId="13" xfId="0" applyNumberFormat="1" applyFont="1" applyBorder="1" applyAlignment="1">
      <alignment horizontal="center"/>
    </xf>
    <xf numFmtId="178" fontId="59" fillId="0" borderId="13" xfId="0" applyNumberFormat="1" applyFont="1" applyBorder="1" applyAlignment="1">
      <alignment horizontal="center"/>
    </xf>
    <xf numFmtId="173" fontId="59" fillId="0" borderId="12" xfId="0" applyNumberFormat="1" applyFont="1" applyBorder="1" applyAlignment="1">
      <alignment horizontal="center" vertical="center"/>
    </xf>
    <xf numFmtId="182" fontId="59" fillId="0" borderId="12" xfId="0" applyNumberFormat="1" applyFont="1" applyBorder="1" applyAlignment="1">
      <alignment horizontal="center" vertical="center"/>
    </xf>
    <xf numFmtId="175" fontId="59" fillId="0" borderId="12" xfId="0" applyNumberFormat="1" applyFont="1" applyBorder="1" applyAlignment="1">
      <alignment horizontal="center" vertical="center"/>
    </xf>
    <xf numFmtId="191" fontId="59" fillId="0" borderId="13" xfId="0" applyNumberFormat="1" applyFont="1" applyBorder="1" applyAlignment="1" applyProtection="1">
      <alignment horizontal="center" vertical="center"/>
      <protection locked="0"/>
    </xf>
    <xf numFmtId="183" fontId="59" fillId="0" borderId="13" xfId="0" applyNumberFormat="1" applyFont="1" applyBorder="1" applyAlignment="1" applyProtection="1">
      <alignment horizontal="center" vertical="center"/>
      <protection locked="0"/>
    </xf>
    <xf numFmtId="3" fontId="59" fillId="0" borderId="12" xfId="0" applyNumberFormat="1" applyFont="1" applyBorder="1" applyAlignment="1" applyProtection="1">
      <alignment horizontal="center" vertical="center"/>
      <protection locked="0"/>
    </xf>
    <xf numFmtId="166" fontId="59" fillId="28" borderId="13" xfId="0" applyNumberFormat="1" applyFont="1" applyFill="1" applyBorder="1" applyAlignment="1">
      <alignment horizontal="center" vertical="center"/>
    </xf>
    <xf numFmtId="3" fontId="59" fillId="0" borderId="14" xfId="0" applyNumberFormat="1" applyFont="1" applyBorder="1" applyAlignment="1" applyProtection="1">
      <alignment horizontal="center" vertical="center"/>
      <protection locked="0"/>
    </xf>
    <xf numFmtId="167" fontId="59" fillId="0" borderId="13" xfId="0" applyNumberFormat="1" applyFont="1" applyBorder="1" applyAlignment="1" applyProtection="1">
      <alignment horizontal="center" vertical="center"/>
      <protection locked="0"/>
    </xf>
    <xf numFmtId="3" fontId="59" fillId="0" borderId="42" xfId="0" applyNumberFormat="1" applyFont="1" applyBorder="1" applyAlignment="1" applyProtection="1">
      <alignment horizontal="center" vertical="center"/>
      <protection locked="0"/>
    </xf>
    <xf numFmtId="172" fontId="59" fillId="0" borderId="13" xfId="0" applyNumberFormat="1" applyFont="1" applyBorder="1" applyAlignment="1">
      <alignment horizontal="center"/>
    </xf>
    <xf numFmtId="166" fontId="59" fillId="0" borderId="12" xfId="0" applyNumberFormat="1" applyFont="1" applyBorder="1" applyAlignment="1" applyProtection="1">
      <alignment horizontal="center"/>
      <protection locked="0"/>
    </xf>
    <xf numFmtId="173" fontId="59" fillId="0" borderId="43" xfId="0" applyNumberFormat="1" applyFont="1" applyBorder="1" applyAlignment="1">
      <alignment horizontal="center"/>
    </xf>
    <xf numFmtId="173" fontId="59" fillId="0" borderId="43" xfId="0" applyNumberFormat="1" applyFont="1" applyBorder="1" applyAlignment="1">
      <alignment horizontal="center" vertical="center"/>
    </xf>
    <xf numFmtId="167" fontId="59" fillId="0" borderId="43" xfId="0" applyNumberFormat="1" applyFont="1" applyBorder="1" applyAlignment="1">
      <alignment horizontal="center"/>
    </xf>
    <xf numFmtId="186" fontId="59" fillId="0" borderId="43" xfId="0" applyNumberFormat="1" applyFont="1" applyBorder="1" applyAlignment="1">
      <alignment horizontal="center"/>
    </xf>
    <xf numFmtId="185" fontId="59" fillId="0" borderId="43" xfId="0" applyNumberFormat="1" applyFont="1" applyBorder="1" applyAlignment="1">
      <alignment horizontal="center"/>
    </xf>
    <xf numFmtId="175" fontId="59" fillId="0" borderId="12" xfId="0" applyNumberFormat="1" applyFont="1" applyBorder="1" applyAlignment="1" applyProtection="1">
      <alignment horizontal="center"/>
      <protection locked="0"/>
    </xf>
    <xf numFmtId="185" fontId="59" fillId="0" borderId="12" xfId="0" applyNumberFormat="1" applyFont="1" applyBorder="1" applyAlignment="1">
      <alignment horizontal="center"/>
    </xf>
    <xf numFmtId="167" fontId="59" fillId="0" borderId="12" xfId="0" applyNumberFormat="1" applyFont="1" applyBorder="1" applyAlignment="1" applyProtection="1">
      <alignment horizontal="center"/>
      <protection locked="0"/>
    </xf>
    <xf numFmtId="173" fontId="59" fillId="0" borderId="12" xfId="0" applyNumberFormat="1" applyFont="1" applyBorder="1" applyAlignment="1">
      <alignment horizontal="center"/>
    </xf>
    <xf numFmtId="3" fontId="59" fillId="0" borderId="12" xfId="0" applyNumberFormat="1" applyFont="1" applyBorder="1"/>
    <xf numFmtId="193" fontId="59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Protection="1">
      <protection locked="0"/>
    </xf>
    <xf numFmtId="164" fontId="5" fillId="33" borderId="15" xfId="28" applyNumberFormat="1" applyFont="1" applyFill="1" applyBorder="1" applyAlignment="1">
      <alignment horizontal="center"/>
    </xf>
    <xf numFmtId="0" fontId="4" fillId="33" borderId="16" xfId="0" applyFont="1" applyFill="1" applyBorder="1" applyAlignment="1">
      <alignment horizontal="center"/>
    </xf>
    <xf numFmtId="0" fontId="1" fillId="33" borderId="16" xfId="0" applyFont="1" applyFill="1" applyBorder="1" applyAlignment="1">
      <alignment horizontal="center"/>
    </xf>
    <xf numFmtId="164" fontId="1" fillId="33" borderId="16" xfId="28" applyNumberFormat="1" applyFont="1" applyFill="1" applyBorder="1" applyAlignment="1">
      <alignment horizontal="center"/>
    </xf>
    <xf numFmtId="180" fontId="1" fillId="33" borderId="17" xfId="0" applyNumberFormat="1" applyFont="1" applyFill="1" applyBorder="1" applyAlignment="1">
      <alignment horizontal="center"/>
    </xf>
    <xf numFmtId="169" fontId="4" fillId="33" borderId="10" xfId="0" applyNumberFormat="1" applyFont="1" applyFill="1" applyBorder="1" applyAlignment="1">
      <alignment horizontal="center" vertical="center"/>
    </xf>
    <xf numFmtId="176" fontId="4" fillId="33" borderId="18" xfId="0" applyNumberFormat="1" applyFont="1" applyFill="1" applyBorder="1" applyAlignment="1">
      <alignment horizontal="center" vertical="center"/>
    </xf>
    <xf numFmtId="177" fontId="1" fillId="33" borderId="18" xfId="0" applyNumberFormat="1" applyFont="1" applyFill="1" applyBorder="1" applyAlignment="1">
      <alignment horizontal="center" vertical="center"/>
    </xf>
    <xf numFmtId="178" fontId="1" fillId="33" borderId="18" xfId="0" applyNumberFormat="1" applyFont="1" applyFill="1" applyBorder="1" applyAlignment="1">
      <alignment horizontal="center" vertical="center"/>
    </xf>
    <xf numFmtId="181" fontId="1" fillId="33" borderId="18" xfId="0" applyNumberFormat="1" applyFont="1" applyFill="1" applyBorder="1" applyAlignment="1">
      <alignment horizontal="center" vertical="center"/>
    </xf>
    <xf numFmtId="179" fontId="4" fillId="33" borderId="19" xfId="0" applyNumberFormat="1" applyFont="1" applyFill="1" applyBorder="1" applyAlignment="1">
      <alignment horizontal="center" vertical="center"/>
    </xf>
    <xf numFmtId="194" fontId="59" fillId="0" borderId="12" xfId="0" applyNumberFormat="1" applyFont="1" applyBorder="1" applyAlignment="1">
      <alignment horizontal="center" vertical="center"/>
    </xf>
    <xf numFmtId="195" fontId="59" fillId="0" borderId="12" xfId="0" applyNumberFormat="1" applyFont="1" applyBorder="1" applyAlignment="1">
      <alignment horizontal="center" vertical="center"/>
    </xf>
    <xf numFmtId="193" fontId="59" fillId="0" borderId="12" xfId="0" applyNumberFormat="1" applyFont="1" applyBorder="1" applyAlignment="1">
      <alignment horizontal="center" vertical="center"/>
    </xf>
    <xf numFmtId="193" fontId="119" fillId="0" borderId="12" xfId="0" applyNumberFormat="1" applyFont="1" applyBorder="1" applyAlignment="1">
      <alignment horizontal="center" vertical="center"/>
    </xf>
    <xf numFmtId="3" fontId="121" fillId="0" borderId="0" xfId="0" applyNumberFormat="1" applyFont="1"/>
    <xf numFmtId="168" fontId="4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94" fillId="27" borderId="12" xfId="0" applyNumberFormat="1" applyFont="1" applyFill="1" applyBorder="1" applyAlignment="1" applyProtection="1">
      <alignment vertical="center"/>
      <protection locked="0"/>
    </xf>
    <xf numFmtId="0" fontId="1" fillId="28" borderId="12" xfId="0" applyFont="1" applyFill="1" applyBorder="1" applyAlignment="1" applyProtection="1">
      <alignment wrapText="1"/>
      <protection locked="0"/>
    </xf>
    <xf numFmtId="3" fontId="1" fillId="28" borderId="12" xfId="0" applyNumberFormat="1" applyFont="1" applyFill="1" applyBorder="1" applyProtection="1">
      <protection locked="0"/>
    </xf>
    <xf numFmtId="166" fontId="59" fillId="28" borderId="12" xfId="0" applyNumberFormat="1" applyFont="1" applyFill="1" applyBorder="1" applyAlignment="1">
      <alignment horizontal="center"/>
    </xf>
    <xf numFmtId="166" fontId="119" fillId="28" borderId="12" xfId="0" applyNumberFormat="1" applyFont="1" applyFill="1" applyBorder="1" applyAlignment="1">
      <alignment horizontal="center"/>
    </xf>
    <xf numFmtId="0" fontId="32" fillId="28" borderId="0" xfId="0" applyFont="1" applyFill="1"/>
    <xf numFmtId="0" fontId="32" fillId="28" borderId="0" xfId="0" applyFont="1" applyFill="1" applyAlignment="1">
      <alignment horizontal="right"/>
    </xf>
    <xf numFmtId="3" fontId="117" fillId="28" borderId="0" xfId="0" applyNumberFormat="1" applyFont="1" applyFill="1" applyAlignment="1">
      <alignment horizontal="left" vertical="center"/>
    </xf>
    <xf numFmtId="3" fontId="100" fillId="0" borderId="0" xfId="0" applyNumberFormat="1" applyFont="1" applyAlignment="1">
      <alignment vertical="center"/>
    </xf>
    <xf numFmtId="9" fontId="44" fillId="27" borderId="0" xfId="46" applyFont="1" applyFill="1" applyAlignment="1">
      <alignment vertical="center"/>
    </xf>
    <xf numFmtId="9" fontId="0" fillId="0" borderId="0" xfId="46" applyFont="1" applyAlignment="1">
      <alignment vertical="center"/>
    </xf>
    <xf numFmtId="3" fontId="116" fillId="28" borderId="0" xfId="0" applyNumberFormat="1" applyFont="1" applyFill="1" applyAlignment="1">
      <alignment vertical="center"/>
    </xf>
    <xf numFmtId="3" fontId="122" fillId="28" borderId="49" xfId="0" applyNumberFormat="1" applyFont="1" applyFill="1" applyBorder="1" applyAlignment="1">
      <alignment vertical="center"/>
    </xf>
    <xf numFmtId="173" fontId="119" fillId="28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22" fillId="31" borderId="49" xfId="0" applyNumberFormat="1" applyFont="1" applyFill="1" applyBorder="1" applyAlignment="1">
      <alignment vertical="center"/>
    </xf>
    <xf numFmtId="181" fontId="119" fillId="31" borderId="13" xfId="0" applyNumberFormat="1" applyFont="1" applyFill="1" applyBorder="1" applyAlignment="1" applyProtection="1">
      <alignment vertical="center"/>
      <protection locked="0"/>
    </xf>
    <xf numFmtId="167" fontId="119" fillId="31" borderId="12" xfId="0" applyNumberFormat="1" applyFont="1" applyFill="1" applyBorder="1" applyAlignment="1" applyProtection="1">
      <alignment horizontal="center"/>
      <protection locked="0"/>
    </xf>
    <xf numFmtId="3" fontId="88" fillId="0" borderId="12" xfId="0" applyNumberFormat="1" applyFont="1" applyBorder="1" applyProtection="1">
      <protection locked="0"/>
    </xf>
    <xf numFmtId="173" fontId="119" fillId="31" borderId="12" xfId="0" applyNumberFormat="1" applyFont="1" applyFill="1" applyBorder="1" applyAlignment="1">
      <alignment horizontal="center" vertical="center"/>
    </xf>
    <xf numFmtId="172" fontId="82" fillId="31" borderId="13" xfId="0" applyNumberFormat="1" applyFont="1" applyFill="1" applyBorder="1" applyAlignment="1">
      <alignment horizontal="center" vertical="center"/>
    </xf>
    <xf numFmtId="166" fontId="82" fillId="31" borderId="13" xfId="0" applyNumberFormat="1" applyFont="1" applyFill="1" applyBorder="1" applyAlignment="1">
      <alignment horizontal="center" vertical="center"/>
    </xf>
    <xf numFmtId="3" fontId="116" fillId="31" borderId="0" xfId="0" applyNumberFormat="1" applyFont="1" applyFill="1" applyAlignment="1">
      <alignment vertical="center"/>
    </xf>
    <xf numFmtId="169" fontId="82" fillId="31" borderId="13" xfId="0" applyNumberFormat="1" applyFont="1" applyFill="1" applyBorder="1" applyAlignment="1">
      <alignment horizontal="center" vertical="center"/>
    </xf>
    <xf numFmtId="3" fontId="122" fillId="34" borderId="49" xfId="0" applyNumberFormat="1" applyFont="1" applyFill="1" applyBorder="1" applyAlignment="1">
      <alignment vertical="center"/>
    </xf>
    <xf numFmtId="166" fontId="82" fillId="34" borderId="12" xfId="0" applyNumberFormat="1" applyFont="1" applyFill="1" applyBorder="1" applyAlignment="1">
      <alignment horizontal="center" vertical="center"/>
    </xf>
    <xf numFmtId="167" fontId="118" fillId="34" borderId="12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" fillId="34" borderId="12" xfId="0" applyFont="1" applyFill="1" applyBorder="1" applyAlignment="1" applyProtection="1">
      <alignment vertical="center" wrapText="1"/>
      <protection locked="0"/>
    </xf>
    <xf numFmtId="3" fontId="117" fillId="34" borderId="0" xfId="0" applyNumberFormat="1" applyFont="1" applyFill="1" applyAlignment="1">
      <alignment horizontal="left" vertical="center"/>
    </xf>
    <xf numFmtId="3" fontId="116" fillId="34" borderId="0" xfId="0" applyNumberFormat="1" applyFont="1" applyFill="1" applyAlignment="1">
      <alignment vertical="center"/>
    </xf>
    <xf numFmtId="3" fontId="122" fillId="35" borderId="49" xfId="0" applyNumberFormat="1" applyFont="1" applyFill="1" applyBorder="1" applyAlignment="1">
      <alignment vertical="center"/>
    </xf>
    <xf numFmtId="3" fontId="111" fillId="35" borderId="0" xfId="0" applyNumberFormat="1" applyFont="1" applyFill="1" applyAlignment="1">
      <alignment vertical="center"/>
    </xf>
    <xf numFmtId="3" fontId="123" fillId="35" borderId="0" xfId="0" applyNumberFormat="1" applyFont="1" applyFill="1" applyAlignment="1">
      <alignment vertical="center"/>
    </xf>
    <xf numFmtId="196" fontId="82" fillId="35" borderId="13" xfId="0" applyNumberFormat="1" applyFont="1" applyFill="1" applyBorder="1" applyAlignment="1">
      <alignment horizontal="center" vertical="center"/>
    </xf>
    <xf numFmtId="165" fontId="82" fillId="35" borderId="13" xfId="0" applyNumberFormat="1" applyFont="1" applyFill="1" applyBorder="1" applyAlignment="1">
      <alignment horizontal="center" vertical="center"/>
    </xf>
    <xf numFmtId="171" fontId="82" fillId="35" borderId="12" xfId="0" applyNumberFormat="1" applyFont="1" applyFill="1" applyBorder="1" applyAlignment="1">
      <alignment horizontal="center" vertical="center"/>
    </xf>
    <xf numFmtId="169" fontId="82" fillId="35" borderId="13" xfId="0" applyNumberFormat="1" applyFont="1" applyFill="1" applyBorder="1" applyAlignment="1">
      <alignment horizontal="center" vertical="center"/>
    </xf>
    <xf numFmtId="0" fontId="110" fillId="35" borderId="13" xfId="0" applyFont="1" applyFill="1" applyBorder="1" applyAlignment="1" applyProtection="1">
      <alignment vertical="center" wrapText="1"/>
      <protection locked="0"/>
    </xf>
    <xf numFmtId="167" fontId="82" fillId="35" borderId="13" xfId="0" applyNumberFormat="1" applyFont="1" applyFill="1" applyBorder="1" applyAlignment="1">
      <alignment horizontal="center" vertical="center"/>
    </xf>
    <xf numFmtId="167" fontId="124" fillId="35" borderId="12" xfId="0" applyNumberFormat="1" applyFont="1" applyFill="1" applyBorder="1" applyAlignment="1">
      <alignment horizontal="center"/>
    </xf>
    <xf numFmtId="3" fontId="110" fillId="35" borderId="0" xfId="0" applyNumberFormat="1" applyFont="1" applyFill="1" applyAlignment="1">
      <alignment horizontal="left" vertical="center"/>
    </xf>
    <xf numFmtId="3" fontId="114" fillId="35" borderId="0" xfId="0" applyNumberFormat="1" applyFont="1" applyFill="1" applyAlignment="1">
      <alignment horizontal="left" vertical="center"/>
    </xf>
    <xf numFmtId="182" fontId="124" fillId="35" borderId="12" xfId="0" applyNumberFormat="1" applyFont="1" applyFill="1" applyBorder="1" applyAlignment="1">
      <alignment horizontal="center" vertical="center"/>
    </xf>
    <xf numFmtId="194" fontId="124" fillId="35" borderId="12" xfId="0" applyNumberFormat="1" applyFont="1" applyFill="1" applyBorder="1" applyAlignment="1">
      <alignment horizontal="center" vertical="center"/>
    </xf>
    <xf numFmtId="175" fontId="124" fillId="35" borderId="12" xfId="0" applyNumberFormat="1" applyFont="1" applyFill="1" applyBorder="1" applyAlignment="1">
      <alignment horizontal="center" vertical="center"/>
    </xf>
    <xf numFmtId="3" fontId="1" fillId="35" borderId="12" xfId="0" applyNumberFormat="1" applyFont="1" applyFill="1" applyBorder="1" applyProtection="1">
      <protection locked="0"/>
    </xf>
    <xf numFmtId="181" fontId="59" fillId="0" borderId="12" xfId="0" applyNumberFormat="1" applyFont="1" applyBorder="1" applyAlignment="1">
      <alignment horizontal="center"/>
    </xf>
    <xf numFmtId="181" fontId="124" fillId="35" borderId="12" xfId="0" applyNumberFormat="1" applyFont="1" applyFill="1" applyBorder="1" applyAlignment="1">
      <alignment horizontal="center"/>
    </xf>
    <xf numFmtId="3" fontId="126" fillId="35" borderId="0" xfId="0" applyNumberFormat="1" applyFont="1" applyFill="1" applyAlignment="1">
      <alignment vertical="center"/>
    </xf>
    <xf numFmtId="166" fontId="125" fillId="35" borderId="13" xfId="0" applyNumberFormat="1" applyFont="1" applyFill="1" applyBorder="1" applyAlignment="1">
      <alignment horizontal="center" vertical="center"/>
    </xf>
    <xf numFmtId="166" fontId="125" fillId="35" borderId="12" xfId="0" applyNumberFormat="1" applyFont="1" applyFill="1" applyBorder="1" applyAlignment="1">
      <alignment horizontal="center" vertical="center"/>
    </xf>
    <xf numFmtId="3" fontId="122" fillId="36" borderId="49" xfId="0" applyNumberFormat="1" applyFont="1" applyFill="1" applyBorder="1" applyAlignment="1">
      <alignment vertical="center"/>
    </xf>
    <xf numFmtId="3" fontId="116" fillId="36" borderId="0" xfId="0" applyNumberFormat="1" applyFont="1" applyFill="1" applyAlignment="1">
      <alignment vertical="center"/>
    </xf>
    <xf numFmtId="166" fontId="82" fillId="36" borderId="13" xfId="0" applyNumberFormat="1" applyFont="1" applyFill="1" applyBorder="1" applyAlignment="1">
      <alignment horizontal="center" vertical="center"/>
    </xf>
    <xf numFmtId="170" fontId="82" fillId="36" borderId="12" xfId="0" applyNumberFormat="1" applyFont="1" applyFill="1" applyBorder="1" applyAlignment="1">
      <alignment horizontal="center" vertical="center"/>
    </xf>
    <xf numFmtId="169" fontId="82" fillId="36" borderId="12" xfId="0" applyNumberFormat="1" applyFont="1" applyFill="1" applyBorder="1" applyAlignment="1">
      <alignment horizontal="center" vertical="center"/>
    </xf>
    <xf numFmtId="167" fontId="125" fillId="36" borderId="13" xfId="0" applyNumberFormat="1" applyFont="1" applyFill="1" applyBorder="1" applyAlignment="1">
      <alignment horizontal="center" vertical="center"/>
    </xf>
    <xf numFmtId="3" fontId="122" fillId="37" borderId="49" xfId="0" applyNumberFormat="1" applyFont="1" applyFill="1" applyBorder="1" applyAlignment="1">
      <alignment vertical="center"/>
    </xf>
    <xf numFmtId="181" fontId="124" fillId="37" borderId="13" xfId="0" applyNumberFormat="1" applyFont="1" applyFill="1" applyBorder="1" applyAlignment="1">
      <alignment horizontal="center"/>
    </xf>
    <xf numFmtId="3" fontId="110" fillId="37" borderId="0" xfId="0" applyNumberFormat="1" applyFont="1" applyFill="1" applyAlignment="1">
      <alignment horizontal="left" vertical="center"/>
    </xf>
    <xf numFmtId="197" fontId="119" fillId="31" borderId="13" xfId="0" applyNumberFormat="1" applyFont="1" applyFill="1" applyBorder="1" applyAlignment="1">
      <alignment horizontal="center"/>
    </xf>
    <xf numFmtId="3" fontId="114" fillId="37" borderId="0" xfId="0" applyNumberFormat="1" applyFont="1" applyFill="1" applyAlignment="1">
      <alignment horizontal="left" vertical="center"/>
    </xf>
    <xf numFmtId="173" fontId="124" fillId="37" borderId="12" xfId="0" applyNumberFormat="1" applyFont="1" applyFill="1" applyBorder="1" applyAlignment="1">
      <alignment horizontal="center" vertical="center"/>
    </xf>
    <xf numFmtId="175" fontId="124" fillId="37" borderId="12" xfId="0" applyNumberFormat="1" applyFont="1" applyFill="1" applyBorder="1" applyAlignment="1" applyProtection="1">
      <alignment horizontal="center"/>
      <protection locked="0"/>
    </xf>
    <xf numFmtId="0" fontId="114" fillId="37" borderId="24" xfId="0" applyFont="1" applyFill="1" applyBorder="1" applyAlignment="1" applyProtection="1">
      <alignment wrapText="1"/>
      <protection locked="0"/>
    </xf>
    <xf numFmtId="180" fontId="110" fillId="37" borderId="17" xfId="0" applyNumberFormat="1" applyFont="1" applyFill="1" applyBorder="1" applyAlignment="1">
      <alignment horizontal="center"/>
    </xf>
    <xf numFmtId="181" fontId="124" fillId="37" borderId="13" xfId="0" applyNumberFormat="1" applyFont="1" applyFill="1" applyBorder="1" applyAlignment="1" applyProtection="1">
      <alignment vertical="center"/>
      <protection locked="0"/>
    </xf>
    <xf numFmtId="3" fontId="110" fillId="37" borderId="13" xfId="0" applyNumberFormat="1" applyFont="1" applyFill="1" applyBorder="1" applyAlignment="1" applyProtection="1">
      <alignment vertical="center"/>
      <protection locked="0"/>
    </xf>
    <xf numFmtId="165" fontId="125" fillId="37" borderId="12" xfId="0" applyNumberFormat="1" applyFont="1" applyFill="1" applyBorder="1" applyAlignment="1">
      <alignment horizontal="center" vertical="center"/>
    </xf>
    <xf numFmtId="3" fontId="123" fillId="37" borderId="0" xfId="0" applyNumberFormat="1" applyFont="1" applyFill="1" applyAlignment="1">
      <alignment vertical="center"/>
    </xf>
    <xf numFmtId="169" fontId="125" fillId="38" borderId="12" xfId="0" applyNumberFormat="1" applyFont="1" applyFill="1" applyBorder="1" applyAlignment="1">
      <alignment horizontal="center" vertical="center"/>
    </xf>
    <xf numFmtId="169" fontId="128" fillId="38" borderId="12" xfId="0" applyNumberFormat="1" applyFont="1" applyFill="1" applyBorder="1" applyAlignment="1">
      <alignment horizontal="center" vertical="center"/>
    </xf>
    <xf numFmtId="3" fontId="127" fillId="38" borderId="0" xfId="0" applyNumberFormat="1" applyFont="1" applyFill="1" applyAlignment="1">
      <alignment vertical="center"/>
    </xf>
    <xf numFmtId="169" fontId="128" fillId="38" borderId="13" xfId="0" applyNumberFormat="1" applyFont="1" applyFill="1" applyBorder="1" applyAlignment="1">
      <alignment horizontal="center" vertical="center"/>
    </xf>
    <xf numFmtId="168" fontId="128" fillId="38" borderId="13" xfId="0" applyNumberFormat="1" applyFont="1" applyFill="1" applyBorder="1" applyAlignment="1">
      <alignment horizontal="center" vertical="center"/>
    </xf>
    <xf numFmtId="165" fontId="128" fillId="38" borderId="13" xfId="0" applyNumberFormat="1" applyFont="1" applyFill="1" applyBorder="1" applyAlignment="1">
      <alignment horizontal="center" vertical="center"/>
    </xf>
    <xf numFmtId="3" fontId="130" fillId="38" borderId="0" xfId="0" applyNumberFormat="1" applyFont="1" applyFill="1" applyAlignment="1">
      <alignment horizontal="left" vertical="center"/>
    </xf>
    <xf numFmtId="165" fontId="59" fillId="0" borderId="12" xfId="0" applyNumberFormat="1" applyFont="1" applyBorder="1" applyAlignment="1">
      <alignment horizontal="center"/>
    </xf>
    <xf numFmtId="165" fontId="129" fillId="38" borderId="12" xfId="0" applyNumberFormat="1" applyFont="1" applyFill="1" applyBorder="1" applyAlignment="1">
      <alignment horizontal="center"/>
    </xf>
    <xf numFmtId="3" fontId="131" fillId="38" borderId="49" xfId="0" applyNumberFormat="1" applyFont="1" applyFill="1" applyBorder="1" applyAlignment="1">
      <alignment vertical="center"/>
    </xf>
    <xf numFmtId="167" fontId="82" fillId="39" borderId="12" xfId="0" applyNumberFormat="1" applyFont="1" applyFill="1" applyBorder="1" applyAlignment="1">
      <alignment horizontal="center" vertical="center"/>
    </xf>
    <xf numFmtId="3" fontId="122" fillId="39" borderId="49" xfId="0" applyNumberFormat="1" applyFont="1" applyFill="1" applyBorder="1" applyAlignment="1">
      <alignment vertical="center"/>
    </xf>
    <xf numFmtId="3" fontId="32" fillId="39" borderId="0" xfId="0" applyNumberFormat="1" applyFont="1" applyFill="1" applyAlignment="1">
      <alignment vertical="center"/>
    </xf>
    <xf numFmtId="172" fontId="82" fillId="39" borderId="13" xfId="0" applyNumberFormat="1" applyFont="1" applyFill="1" applyBorder="1" applyAlignment="1">
      <alignment horizontal="center" vertical="center"/>
    </xf>
    <xf numFmtId="3" fontId="116" fillId="39" borderId="0" xfId="0" applyNumberFormat="1" applyFont="1" applyFill="1" applyAlignment="1">
      <alignment vertical="center"/>
    </xf>
    <xf numFmtId="166" fontId="82" fillId="39" borderId="12" xfId="0" applyNumberFormat="1" applyFont="1" applyFill="1" applyBorder="1" applyAlignment="1">
      <alignment horizontal="center" vertical="center"/>
    </xf>
    <xf numFmtId="169" fontId="82" fillId="39" borderId="12" xfId="0" applyNumberFormat="1" applyFont="1" applyFill="1" applyBorder="1" applyAlignment="1">
      <alignment horizontal="center" vertical="center"/>
    </xf>
    <xf numFmtId="170" fontId="82" fillId="39" borderId="12" xfId="0" applyNumberFormat="1" applyFont="1" applyFill="1" applyBorder="1" applyAlignment="1">
      <alignment horizontal="center" vertical="center"/>
    </xf>
    <xf numFmtId="194" fontId="59" fillId="39" borderId="12" xfId="0" applyNumberFormat="1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 applyProtection="1">
      <alignment vertical="center"/>
      <protection locked="0"/>
    </xf>
    <xf numFmtId="166" fontId="119" fillId="39" borderId="12" xfId="0" applyNumberFormat="1" applyFont="1" applyFill="1" applyBorder="1" applyAlignment="1">
      <alignment horizontal="center" vertical="center"/>
    </xf>
    <xf numFmtId="3" fontId="117" fillId="39" borderId="0" xfId="0" applyNumberFormat="1" applyFont="1" applyFill="1" applyAlignment="1">
      <alignment horizontal="left" vertical="center"/>
    </xf>
    <xf numFmtId="166" fontId="59" fillId="39" borderId="12" xfId="0" applyNumberFormat="1" applyFont="1" applyFill="1" applyBorder="1" applyAlignment="1">
      <alignment horizontal="center" vertical="center"/>
    </xf>
    <xf numFmtId="3" fontId="1" fillId="39" borderId="0" xfId="0" applyNumberFormat="1" applyFont="1" applyFill="1" applyAlignment="1">
      <alignment horizontal="left" vertical="center"/>
    </xf>
    <xf numFmtId="166" fontId="59" fillId="39" borderId="12" xfId="0" applyNumberFormat="1" applyFont="1" applyFill="1" applyBorder="1" applyAlignment="1">
      <alignment horizontal="center"/>
    </xf>
    <xf numFmtId="173" fontId="124" fillId="39" borderId="12" xfId="0" applyNumberFormat="1" applyFont="1" applyFill="1" applyBorder="1" applyAlignment="1">
      <alignment horizontal="center" vertical="center"/>
    </xf>
    <xf numFmtId="164" fontId="0" fillId="0" borderId="0" xfId="0" applyNumberFormat="1"/>
    <xf numFmtId="3" fontId="122" fillId="40" borderId="49" xfId="0" applyNumberFormat="1" applyFont="1" applyFill="1" applyBorder="1" applyAlignment="1">
      <alignment vertical="center"/>
    </xf>
    <xf numFmtId="165" fontId="82" fillId="40" borderId="13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vertical="center"/>
    </xf>
    <xf numFmtId="3" fontId="127" fillId="40" borderId="0" xfId="0" applyNumberFormat="1" applyFont="1" applyFill="1" applyAlignment="1">
      <alignment vertical="center"/>
    </xf>
    <xf numFmtId="168" fontId="82" fillId="40" borderId="13" xfId="0" applyNumberFormat="1" applyFont="1" applyFill="1" applyBorder="1" applyAlignment="1">
      <alignment horizontal="center" vertical="center"/>
    </xf>
    <xf numFmtId="3" fontId="32" fillId="40" borderId="0" xfId="0" applyNumberFormat="1" applyFont="1" applyFill="1" applyAlignment="1">
      <alignment vertical="center"/>
    </xf>
    <xf numFmtId="0" fontId="4" fillId="40" borderId="13" xfId="0" applyFont="1" applyFill="1" applyBorder="1" applyAlignment="1" applyProtection="1">
      <alignment horizontal="center" vertical="center"/>
      <protection locked="0"/>
    </xf>
    <xf numFmtId="186" fontId="59" fillId="40" borderId="13" xfId="0" applyNumberFormat="1" applyFont="1" applyFill="1" applyBorder="1" applyAlignment="1" applyProtection="1">
      <alignment vertical="center"/>
      <protection locked="0"/>
    </xf>
    <xf numFmtId="181" fontId="59" fillId="40" borderId="13" xfId="0" applyNumberFormat="1" applyFont="1" applyFill="1" applyBorder="1" applyAlignment="1" applyProtection="1">
      <alignment vertical="center"/>
      <protection locked="0"/>
    </xf>
    <xf numFmtId="181" fontId="129" fillId="40" borderId="13" xfId="0" applyNumberFormat="1" applyFont="1" applyFill="1" applyBorder="1" applyAlignment="1" applyProtection="1">
      <alignment vertical="center"/>
      <protection locked="0"/>
    </xf>
    <xf numFmtId="166" fontId="82" fillId="40" borderId="13" xfId="0" applyNumberFormat="1" applyFont="1" applyFill="1" applyBorder="1" applyAlignment="1">
      <alignment horizontal="center" vertical="center"/>
    </xf>
    <xf numFmtId="3" fontId="122" fillId="41" borderId="49" xfId="0" applyNumberFormat="1" applyFont="1" applyFill="1" applyBorder="1" applyAlignment="1">
      <alignment vertical="center"/>
    </xf>
    <xf numFmtId="169" fontId="82" fillId="41" borderId="13" xfId="0" applyNumberFormat="1" applyFont="1" applyFill="1" applyBorder="1" applyAlignment="1">
      <alignment horizontal="center" vertical="center"/>
    </xf>
    <xf numFmtId="0" fontId="54" fillId="41" borderId="0" xfId="0" applyFont="1" applyFill="1" applyAlignment="1">
      <alignment vertical="center"/>
    </xf>
    <xf numFmtId="3" fontId="116" fillId="41" borderId="0" xfId="0" applyNumberFormat="1" applyFont="1" applyFill="1" applyAlignment="1">
      <alignment vertical="center"/>
    </xf>
    <xf numFmtId="196" fontId="82" fillId="41" borderId="12" xfId="0" applyNumberFormat="1" applyFont="1" applyFill="1" applyBorder="1" applyAlignment="1">
      <alignment horizontal="center" vertical="center"/>
    </xf>
    <xf numFmtId="166" fontId="82" fillId="41" borderId="12" xfId="0" applyNumberFormat="1" applyFont="1" applyFill="1" applyBorder="1" applyAlignment="1" applyProtection="1">
      <alignment horizontal="center" vertical="center"/>
      <protection locked="0"/>
    </xf>
    <xf numFmtId="167" fontId="82" fillId="41" borderId="12" xfId="0" applyNumberFormat="1" applyFont="1" applyFill="1" applyBorder="1" applyAlignment="1" applyProtection="1">
      <alignment horizontal="center" vertical="center"/>
      <protection locked="0"/>
    </xf>
    <xf numFmtId="0" fontId="1" fillId="41" borderId="12" xfId="0" applyFont="1" applyFill="1" applyBorder="1" applyAlignment="1" applyProtection="1">
      <alignment vertical="center" wrapText="1"/>
      <protection locked="0"/>
    </xf>
    <xf numFmtId="3" fontId="1" fillId="41" borderId="13" xfId="0" applyNumberFormat="1" applyFont="1" applyFill="1" applyBorder="1" applyAlignment="1" applyProtection="1">
      <alignment vertical="center"/>
      <protection locked="0"/>
    </xf>
    <xf numFmtId="165" fontId="82" fillId="41" borderId="12" xfId="0" applyNumberFormat="1" applyFont="1" applyFill="1" applyBorder="1" applyAlignment="1">
      <alignment horizontal="center" vertical="center"/>
    </xf>
    <xf numFmtId="0" fontId="98" fillId="41" borderId="12" xfId="0" applyFont="1" applyFill="1" applyBorder="1" applyAlignment="1" applyProtection="1">
      <alignment horizontal="center" vertical="center"/>
      <protection locked="0"/>
    </xf>
    <xf numFmtId="3" fontId="1" fillId="41" borderId="12" xfId="0" applyNumberFormat="1" applyFont="1" applyFill="1" applyBorder="1" applyAlignment="1" applyProtection="1">
      <alignment vertical="center"/>
      <protection locked="0"/>
    </xf>
    <xf numFmtId="3" fontId="4" fillId="41" borderId="13" xfId="0" applyNumberFormat="1" applyFont="1" applyFill="1" applyBorder="1" applyAlignment="1" applyProtection="1">
      <alignment horizontal="center" vertical="center"/>
      <protection locked="0"/>
    </xf>
    <xf numFmtId="169" fontId="125" fillId="41" borderId="12" xfId="0" applyNumberFormat="1" applyFont="1" applyFill="1" applyBorder="1" applyAlignment="1">
      <alignment horizontal="center" vertical="center"/>
    </xf>
    <xf numFmtId="0" fontId="32" fillId="41" borderId="0" xfId="0" applyFont="1" applyFill="1" applyAlignment="1">
      <alignment vertical="center"/>
    </xf>
    <xf numFmtId="171" fontId="82" fillId="41" borderId="12" xfId="0" applyNumberFormat="1" applyFont="1" applyFill="1" applyBorder="1" applyAlignment="1">
      <alignment horizontal="center" vertical="center"/>
    </xf>
    <xf numFmtId="166" fontId="82" fillId="41" borderId="13" xfId="0" applyNumberFormat="1" applyFont="1" applyFill="1" applyBorder="1" applyAlignment="1">
      <alignment horizontal="center" vertical="center"/>
    </xf>
    <xf numFmtId="0" fontId="1" fillId="41" borderId="12" xfId="0" applyFont="1" applyFill="1" applyBorder="1" applyAlignment="1" applyProtection="1">
      <alignment horizontal="center" vertical="center"/>
      <protection locked="0"/>
    </xf>
    <xf numFmtId="0" fontId="1" fillId="41" borderId="12" xfId="0" applyFont="1" applyFill="1" applyBorder="1" applyAlignment="1" applyProtection="1">
      <alignment wrapText="1"/>
      <protection locked="0"/>
    </xf>
    <xf numFmtId="198" fontId="0" fillId="0" borderId="0" xfId="0" applyNumberFormat="1"/>
    <xf numFmtId="0" fontId="113" fillId="28" borderId="12" xfId="0" applyFont="1" applyFill="1" applyBorder="1" applyAlignment="1" applyProtection="1">
      <alignment vertical="center" wrapText="1"/>
      <protection locked="0"/>
    </xf>
    <xf numFmtId="166" fontId="82" fillId="28" borderId="13" xfId="0" applyNumberFormat="1" applyFont="1" applyFill="1" applyBorder="1" applyAlignment="1">
      <alignment horizontal="center" vertical="center"/>
    </xf>
    <xf numFmtId="0" fontId="1" fillId="28" borderId="12" xfId="0" applyFont="1" applyFill="1" applyBorder="1" applyAlignment="1" applyProtection="1">
      <alignment horizontal="center" vertical="center"/>
      <protection locked="0"/>
    </xf>
    <xf numFmtId="3" fontId="4" fillId="28" borderId="13" xfId="0" applyNumberFormat="1" applyFont="1" applyFill="1" applyBorder="1" applyAlignment="1" applyProtection="1">
      <alignment horizontal="center" vertical="center"/>
      <protection locked="0"/>
    </xf>
    <xf numFmtId="164" fontId="54" fillId="28" borderId="0" xfId="28" applyNumberFormat="1" applyFont="1" applyFill="1" applyAlignment="1">
      <alignment vertical="center"/>
    </xf>
    <xf numFmtId="167" fontId="82" fillId="32" borderId="12" xfId="0" applyNumberFormat="1" applyFont="1" applyFill="1" applyBorder="1" applyAlignment="1">
      <alignment horizontal="center" vertical="center"/>
    </xf>
    <xf numFmtId="166" fontId="82" fillId="32" borderId="12" xfId="0" applyNumberFormat="1" applyFont="1" applyFill="1" applyBorder="1" applyAlignment="1">
      <alignment horizontal="center" vertical="center"/>
    </xf>
    <xf numFmtId="3" fontId="122" fillId="32" borderId="49" xfId="0" applyNumberFormat="1" applyFont="1" applyFill="1" applyBorder="1" applyAlignment="1">
      <alignment vertical="center"/>
    </xf>
    <xf numFmtId="3" fontId="116" fillId="32" borderId="0" xfId="0" applyNumberFormat="1" applyFont="1" applyFill="1" applyAlignment="1">
      <alignment vertical="center"/>
    </xf>
    <xf numFmtId="0" fontId="1" fillId="32" borderId="12" xfId="0" applyFont="1" applyFill="1" applyBorder="1" applyAlignment="1" applyProtection="1">
      <alignment vertical="center" wrapText="1"/>
      <protection locked="0"/>
    </xf>
    <xf numFmtId="3" fontId="1" fillId="32" borderId="13" xfId="0" applyNumberFormat="1" applyFont="1" applyFill="1" applyBorder="1" applyAlignment="1" applyProtection="1">
      <alignment vertical="center"/>
      <protection locked="0"/>
    </xf>
    <xf numFmtId="165" fontId="82" fillId="32" borderId="12" xfId="0" applyNumberFormat="1" applyFont="1" applyFill="1" applyBorder="1" applyAlignment="1">
      <alignment horizontal="center" vertical="center"/>
    </xf>
    <xf numFmtId="0" fontId="98" fillId="32" borderId="12" xfId="0" applyFont="1" applyFill="1" applyBorder="1" applyAlignment="1" applyProtection="1">
      <alignment horizontal="center" vertical="center"/>
      <protection locked="0"/>
    </xf>
    <xf numFmtId="3" fontId="1" fillId="32" borderId="12" xfId="0" applyNumberFormat="1" applyFont="1" applyFill="1" applyBorder="1" applyAlignment="1" applyProtection="1">
      <alignment vertical="center"/>
      <protection locked="0"/>
    </xf>
    <xf numFmtId="3" fontId="4" fillId="32" borderId="13" xfId="0" applyNumberFormat="1" applyFont="1" applyFill="1" applyBorder="1" applyAlignment="1" applyProtection="1">
      <alignment horizontal="center" vertical="center"/>
      <protection locked="0"/>
    </xf>
    <xf numFmtId="169" fontId="125" fillId="32" borderId="12" xfId="0" applyNumberFormat="1" applyFont="1" applyFill="1" applyBorder="1" applyAlignment="1">
      <alignment horizontal="center" vertical="center"/>
    </xf>
    <xf numFmtId="0" fontId="32" fillId="32" borderId="0" xfId="0" applyFont="1" applyFill="1" applyAlignment="1">
      <alignment vertical="center"/>
    </xf>
    <xf numFmtId="166" fontId="82" fillId="32" borderId="13" xfId="0" applyNumberFormat="1" applyFont="1" applyFill="1" applyBorder="1" applyAlignment="1">
      <alignment horizontal="center" vertical="center"/>
    </xf>
    <xf numFmtId="0" fontId="1" fillId="32" borderId="12" xfId="0" applyFont="1" applyFill="1" applyBorder="1" applyAlignment="1" applyProtection="1">
      <alignment horizontal="center" vertical="center"/>
      <protection locked="0"/>
    </xf>
    <xf numFmtId="173" fontId="119" fillId="32" borderId="12" xfId="0" applyNumberFormat="1" applyFont="1" applyFill="1" applyBorder="1" applyAlignment="1">
      <alignment horizontal="center"/>
    </xf>
    <xf numFmtId="166" fontId="124" fillId="32" borderId="12" xfId="0" applyNumberFormat="1" applyFont="1" applyFill="1" applyBorder="1" applyAlignment="1">
      <alignment horizontal="center"/>
    </xf>
    <xf numFmtId="166" fontId="59" fillId="32" borderId="12" xfId="0" applyNumberFormat="1" applyFont="1" applyFill="1" applyBorder="1" applyAlignment="1">
      <alignment horizontal="center" vertical="center"/>
    </xf>
    <xf numFmtId="3" fontId="1" fillId="32" borderId="0" xfId="0" applyNumberFormat="1" applyFont="1" applyFill="1" applyAlignment="1">
      <alignment horizontal="left" vertical="center"/>
    </xf>
    <xf numFmtId="3" fontId="117" fillId="32" borderId="0" xfId="0" applyNumberFormat="1" applyFont="1" applyFill="1" applyAlignment="1">
      <alignment horizontal="left" vertical="center"/>
    </xf>
    <xf numFmtId="169" fontId="119" fillId="32" borderId="13" xfId="0" applyNumberFormat="1" applyFont="1" applyFill="1" applyBorder="1" applyAlignment="1">
      <alignment horizontal="center"/>
    </xf>
    <xf numFmtId="178" fontId="119" fillId="32" borderId="13" xfId="0" applyNumberFormat="1" applyFont="1" applyFill="1" applyBorder="1" applyAlignment="1">
      <alignment horizontal="center" vertical="center"/>
    </xf>
    <xf numFmtId="3" fontId="117" fillId="27" borderId="0" xfId="0" applyNumberFormat="1" applyFont="1" applyFill="1" applyAlignment="1">
      <alignment horizontal="left" vertical="center"/>
    </xf>
    <xf numFmtId="3" fontId="0" fillId="0" borderId="0" xfId="0" applyNumberFormat="1" applyAlignment="1">
      <alignment vertical="center"/>
    </xf>
    <xf numFmtId="169" fontId="125" fillId="42" borderId="12" xfId="0" applyNumberFormat="1" applyFont="1" applyFill="1" applyBorder="1" applyAlignment="1">
      <alignment horizontal="center" vertical="center"/>
    </xf>
    <xf numFmtId="0" fontId="110" fillId="42" borderId="12" xfId="0" applyFont="1" applyFill="1" applyBorder="1" applyAlignment="1" applyProtection="1">
      <alignment vertical="center" wrapText="1"/>
      <protection locked="0"/>
    </xf>
    <xf numFmtId="165" fontId="125" fillId="42" borderId="12" xfId="0" applyNumberFormat="1" applyFont="1" applyFill="1" applyBorder="1" applyAlignment="1">
      <alignment horizontal="center" vertical="center"/>
    </xf>
    <xf numFmtId="0" fontId="114" fillId="42" borderId="12" xfId="0" applyFont="1" applyFill="1" applyBorder="1" applyAlignment="1" applyProtection="1">
      <alignment horizontal="center" vertical="center"/>
      <protection locked="0"/>
    </xf>
    <xf numFmtId="3" fontId="110" fillId="42" borderId="12" xfId="0" applyNumberFormat="1" applyFont="1" applyFill="1" applyBorder="1" applyAlignment="1" applyProtection="1">
      <alignment vertical="center"/>
      <protection locked="0"/>
    </xf>
    <xf numFmtId="3" fontId="114" fillId="42" borderId="13" xfId="0" applyNumberFormat="1" applyFont="1" applyFill="1" applyBorder="1" applyAlignment="1" applyProtection="1">
      <alignment horizontal="center" vertical="center"/>
      <protection locked="0"/>
    </xf>
    <xf numFmtId="3" fontId="111" fillId="42" borderId="0" xfId="0" applyNumberFormat="1" applyFont="1" applyFill="1" applyAlignment="1">
      <alignment vertical="center"/>
    </xf>
    <xf numFmtId="0" fontId="111" fillId="42" borderId="0" xfId="0" applyFont="1" applyFill="1" applyAlignment="1">
      <alignment vertical="center"/>
    </xf>
    <xf numFmtId="0" fontId="114" fillId="42" borderId="12" xfId="0" applyFont="1" applyFill="1" applyBorder="1" applyAlignment="1" applyProtection="1">
      <alignment vertical="center" wrapText="1"/>
      <protection locked="0"/>
    </xf>
    <xf numFmtId="3" fontId="114" fillId="42" borderId="13" xfId="0" applyNumberFormat="1" applyFont="1" applyFill="1" applyBorder="1" applyAlignment="1" applyProtection="1">
      <alignment vertical="center"/>
      <protection locked="0"/>
    </xf>
    <xf numFmtId="3" fontId="114" fillId="42" borderId="12" xfId="0" applyNumberFormat="1" applyFont="1" applyFill="1" applyBorder="1" applyAlignment="1" applyProtection="1">
      <alignment vertical="center"/>
      <protection locked="0"/>
    </xf>
    <xf numFmtId="0" fontId="123" fillId="42" borderId="0" xfId="0" applyFont="1" applyFill="1" applyAlignment="1">
      <alignment vertical="center"/>
    </xf>
    <xf numFmtId="3" fontId="126" fillId="42" borderId="0" xfId="0" applyNumberFormat="1" applyFont="1" applyFill="1" applyAlignment="1">
      <alignment vertical="center"/>
    </xf>
    <xf numFmtId="0" fontId="110" fillId="42" borderId="12" xfId="0" applyFont="1" applyFill="1" applyBorder="1" applyAlignment="1" applyProtection="1">
      <alignment horizontal="center" vertical="center"/>
      <protection locked="0"/>
    </xf>
    <xf numFmtId="166" fontId="125" fillId="42" borderId="13" xfId="0" applyNumberFormat="1" applyFont="1" applyFill="1" applyBorder="1" applyAlignment="1">
      <alignment horizontal="center" vertical="center"/>
    </xf>
    <xf numFmtId="0" fontId="132" fillId="42" borderId="0" xfId="0" applyFont="1" applyFill="1"/>
    <xf numFmtId="198" fontId="111" fillId="42" borderId="0" xfId="0" applyNumberFormat="1" applyFont="1" applyFill="1"/>
    <xf numFmtId="166" fontId="125" fillId="41" borderId="13" xfId="0" applyNumberFormat="1" applyFont="1" applyFill="1" applyBorder="1" applyAlignment="1">
      <alignment horizontal="center" vertical="center"/>
    </xf>
    <xf numFmtId="169" fontId="82" fillId="41" borderId="12" xfId="0" applyNumberFormat="1" applyFont="1" applyFill="1" applyBorder="1" applyAlignment="1">
      <alignment horizontal="center" vertical="center"/>
    </xf>
    <xf numFmtId="3" fontId="116" fillId="0" borderId="0" xfId="0" applyNumberFormat="1" applyFont="1" applyFill="1" applyAlignment="1">
      <alignment vertical="center"/>
    </xf>
    <xf numFmtId="3" fontId="122" fillId="43" borderId="49" xfId="0" applyNumberFormat="1" applyFont="1" applyFill="1" applyBorder="1" applyAlignment="1">
      <alignment vertical="center"/>
    </xf>
    <xf numFmtId="182" fontId="119" fillId="43" borderId="13" xfId="0" applyNumberFormat="1" applyFont="1" applyFill="1" applyBorder="1" applyAlignment="1">
      <alignment horizontal="center"/>
    </xf>
    <xf numFmtId="3" fontId="117" fillId="43" borderId="0" xfId="0" applyNumberFormat="1" applyFont="1" applyFill="1" applyAlignment="1">
      <alignment horizontal="left" vertical="center"/>
    </xf>
    <xf numFmtId="181" fontId="133" fillId="43" borderId="12" xfId="0" applyNumberFormat="1" applyFont="1" applyFill="1" applyBorder="1" applyAlignment="1">
      <alignment horizontal="center"/>
    </xf>
    <xf numFmtId="3" fontId="94" fillId="43" borderId="0" xfId="0" applyNumberFormat="1" applyFont="1" applyFill="1" applyAlignment="1">
      <alignment horizontal="left" vertical="center"/>
    </xf>
    <xf numFmtId="0" fontId="94" fillId="43" borderId="12" xfId="0" applyFont="1" applyFill="1" applyBorder="1" applyAlignment="1" applyProtection="1">
      <alignment wrapText="1"/>
      <protection locked="0"/>
    </xf>
    <xf numFmtId="185" fontId="133" fillId="43" borderId="12" xfId="0" applyNumberFormat="1" applyFont="1" applyFill="1" applyBorder="1" applyAlignment="1">
      <alignment horizontal="center"/>
    </xf>
    <xf numFmtId="0" fontId="116" fillId="43" borderId="0" xfId="0" applyFont="1" applyFill="1" applyAlignment="1">
      <alignment horizontal="left" vertical="center"/>
    </xf>
    <xf numFmtId="166" fontId="82" fillId="43" borderId="13" xfId="0" applyNumberFormat="1" applyFont="1" applyFill="1" applyBorder="1" applyAlignment="1">
      <alignment horizontal="center" vertical="center"/>
    </xf>
    <xf numFmtId="3" fontId="116" fillId="43" borderId="0" xfId="0" applyNumberFormat="1" applyFont="1" applyFill="1" applyAlignment="1">
      <alignment vertical="center"/>
    </xf>
    <xf numFmtId="0" fontId="1" fillId="43" borderId="12" xfId="0" applyFont="1" applyFill="1" applyBorder="1" applyAlignment="1" applyProtection="1">
      <alignment vertical="center" wrapText="1"/>
      <protection locked="0"/>
    </xf>
    <xf numFmtId="169" fontId="82" fillId="43" borderId="12" xfId="0" applyNumberFormat="1" applyFont="1" applyFill="1" applyBorder="1" applyAlignment="1">
      <alignment horizontal="center" vertical="center"/>
    </xf>
    <xf numFmtId="169" fontId="125" fillId="43" borderId="12" xfId="0" applyNumberFormat="1" applyFont="1" applyFill="1" applyBorder="1" applyAlignment="1">
      <alignment horizontal="center" vertical="center"/>
    </xf>
    <xf numFmtId="3" fontId="109" fillId="43" borderId="0" xfId="0" applyNumberFormat="1" applyFont="1" applyFill="1" applyAlignment="1">
      <alignment vertical="center"/>
    </xf>
    <xf numFmtId="167" fontId="82" fillId="43" borderId="13" xfId="0" applyNumberFormat="1" applyFont="1" applyFill="1" applyBorder="1" applyAlignment="1">
      <alignment horizontal="center" vertical="center"/>
    </xf>
    <xf numFmtId="3" fontId="90" fillId="43" borderId="0" xfId="0" applyNumberFormat="1" applyFont="1" applyFill="1" applyAlignment="1">
      <alignment vertical="center"/>
    </xf>
    <xf numFmtId="3" fontId="134" fillId="44" borderId="49" xfId="0" applyNumberFormat="1" applyFont="1" applyFill="1" applyBorder="1" applyAlignment="1">
      <alignment vertical="center"/>
    </xf>
    <xf numFmtId="3" fontId="116" fillId="44" borderId="0" xfId="0" applyNumberFormat="1" applyFont="1" applyFill="1" applyAlignment="1">
      <alignment vertical="center"/>
    </xf>
    <xf numFmtId="166" fontId="135" fillId="44" borderId="13" xfId="0" applyNumberFormat="1" applyFont="1" applyFill="1" applyBorder="1" applyAlignment="1">
      <alignment horizontal="center" vertical="center"/>
    </xf>
    <xf numFmtId="3" fontId="112" fillId="44" borderId="0" xfId="0" applyNumberFormat="1" applyFont="1" applyFill="1" applyAlignment="1">
      <alignment vertical="center"/>
    </xf>
    <xf numFmtId="166" fontId="82" fillId="44" borderId="12" xfId="0" applyNumberFormat="1" applyFont="1" applyFill="1" applyBorder="1" applyAlignment="1">
      <alignment horizontal="center" vertical="center"/>
    </xf>
    <xf numFmtId="166" fontId="135" fillId="44" borderId="12" xfId="0" applyNumberFormat="1" applyFont="1" applyFill="1" applyBorder="1" applyAlignment="1">
      <alignment horizontal="center" vertical="center"/>
    </xf>
    <xf numFmtId="169" fontId="135" fillId="44" borderId="12" xfId="0" applyNumberFormat="1" applyFont="1" applyFill="1" applyBorder="1" applyAlignment="1">
      <alignment horizontal="center" vertical="center"/>
    </xf>
    <xf numFmtId="0" fontId="113" fillId="44" borderId="12" xfId="0" applyFont="1" applyFill="1" applyBorder="1" applyAlignment="1" applyProtection="1">
      <alignment vertical="center" wrapText="1"/>
      <protection locked="0"/>
    </xf>
    <xf numFmtId="0" fontId="113" fillId="44" borderId="12" xfId="0" applyFont="1" applyFill="1" applyBorder="1" applyAlignment="1" applyProtection="1">
      <alignment wrapText="1"/>
      <protection locked="0"/>
    </xf>
    <xf numFmtId="166" fontId="136" fillId="44" borderId="12" xfId="0" applyNumberFormat="1" applyFont="1" applyFill="1" applyBorder="1" applyAlignment="1">
      <alignment horizontal="center"/>
    </xf>
    <xf numFmtId="3" fontId="113" fillId="44" borderId="0" xfId="0" applyNumberFormat="1" applyFont="1" applyFill="1" applyAlignment="1">
      <alignment horizontal="left" vertical="center"/>
    </xf>
    <xf numFmtId="0" fontId="0" fillId="44" borderId="0" xfId="0" applyFill="1" applyAlignment="1">
      <alignment horizontal="right"/>
    </xf>
    <xf numFmtId="0" fontId="116" fillId="44" borderId="0" xfId="0" applyFont="1" applyFill="1" applyAlignment="1">
      <alignment horizontal="left" vertical="center"/>
    </xf>
    <xf numFmtId="3" fontId="113" fillId="44" borderId="12" xfId="0" applyNumberFormat="1" applyFont="1" applyFill="1" applyBorder="1" applyAlignment="1" applyProtection="1">
      <alignment vertical="center"/>
      <protection locked="0"/>
    </xf>
    <xf numFmtId="0" fontId="32" fillId="44" borderId="0" xfId="0" applyFont="1" applyFill="1" applyAlignment="1">
      <alignment vertical="center"/>
    </xf>
    <xf numFmtId="166" fontId="82" fillId="44" borderId="13" xfId="0" applyNumberFormat="1" applyFont="1" applyFill="1" applyBorder="1" applyAlignment="1">
      <alignment horizontal="center" vertical="center"/>
    </xf>
    <xf numFmtId="0" fontId="112" fillId="44" borderId="0" xfId="0" applyFont="1" applyFill="1" applyAlignment="1">
      <alignment vertical="center"/>
    </xf>
    <xf numFmtId="0" fontId="112" fillId="44" borderId="0" xfId="0" applyFont="1" applyFill="1" applyAlignment="1">
      <alignment horizontal="left" vertical="center"/>
    </xf>
    <xf numFmtId="3" fontId="0" fillId="0" borderId="0" xfId="0" applyNumberFormat="1" applyFill="1" applyBorder="1"/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/>
    </xf>
    <xf numFmtId="42" fontId="4" fillId="0" borderId="0" xfId="0" applyNumberFormat="1" applyFont="1" applyAlignment="1" applyProtection="1">
      <alignment horizontal="center" vertical="center"/>
      <protection locked="0"/>
    </xf>
    <xf numFmtId="0" fontId="16" fillId="27" borderId="0" xfId="0" applyFont="1" applyFill="1" applyAlignment="1">
      <alignment horizontal="center" vertical="center" wrapText="1"/>
    </xf>
    <xf numFmtId="0" fontId="55" fillId="27" borderId="0" xfId="0" applyFont="1" applyFill="1" applyAlignment="1">
      <alignment horizontal="center" vertical="center" wrapText="1"/>
    </xf>
    <xf numFmtId="0" fontId="33" fillId="27" borderId="0" xfId="0" applyFont="1" applyFill="1" applyAlignment="1">
      <alignment horizontal="center" vertical="center" wrapText="1"/>
    </xf>
    <xf numFmtId="3" fontId="105" fillId="30" borderId="0" xfId="0" applyNumberFormat="1" applyFont="1" applyFill="1" applyAlignment="1">
      <alignment horizontal="center"/>
    </xf>
    <xf numFmtId="0" fontId="106" fillId="30" borderId="0" xfId="0" applyFont="1" applyFill="1" applyAlignment="1">
      <alignment horizontal="center" vertical="center"/>
    </xf>
    <xf numFmtId="0" fontId="83" fillId="0" borderId="0" xfId="0" applyFont="1" applyAlignment="1">
      <alignment horizontal="center" wrapText="1"/>
    </xf>
    <xf numFmtId="0" fontId="0" fillId="0" borderId="47" xfId="0" applyBorder="1" applyAlignment="1">
      <alignment horizontal="center"/>
    </xf>
    <xf numFmtId="0" fontId="25" fillId="0" borderId="3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9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56" fillId="0" borderId="0" xfId="0" applyFont="1" applyAlignment="1" applyProtection="1">
      <alignment horizontal="center" vertical="center" wrapText="1"/>
      <protection locked="0"/>
    </xf>
    <xf numFmtId="0" fontId="8" fillId="0" borderId="3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64" fillId="0" borderId="0" xfId="35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wrapText="1"/>
    </xf>
    <xf numFmtId="0" fontId="32" fillId="0" borderId="39" xfId="0" applyFont="1" applyBorder="1" applyAlignment="1">
      <alignment horizontal="center"/>
    </xf>
    <xf numFmtId="0" fontId="32" fillId="0" borderId="0" xfId="0" applyFont="1" applyAlignment="1">
      <alignment horizontal="center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Százalék" xfId="46" builtinId="5"/>
    <cellStyle name="ᨚᨚᨚᨚᨚᨚᨚ" xfId="44" xr:uid="{00000000-0005-0000-0000-00002D000000}"/>
    <cellStyle name="ᨚᨚᨚᨚᨚᨚᨚᨚᨚ_x001a_" xfId="45" xr:uid="{00000000-0005-0000-0000-00002E000000}"/>
  </cellStyles>
  <dxfs count="0"/>
  <tableStyles count="0" defaultTableStyle="TableStyleMedium2" defaultPivotStyle="PivotStyleLight16"/>
  <colors>
    <mruColors>
      <color rgb="FFBAF96D"/>
      <color rgb="FFFFCCFF"/>
      <color rgb="FFFF6600"/>
      <color rgb="FF99FF99"/>
      <color rgb="FFCC3399"/>
      <color rgb="FF99CCFF"/>
      <color rgb="FFFF00FF"/>
      <color rgb="FF984A9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13" Type="http://schemas.openxmlformats.org/officeDocument/2006/relationships/image" Target="../media/image5.emf"/><Relationship Id="rId18" Type="http://schemas.openxmlformats.org/officeDocument/2006/relationships/customXml" Target="../ink/ink9.xml"/><Relationship Id="rId3" Type="http://schemas.openxmlformats.org/officeDocument/2006/relationships/customXml" Target="../ink/ink3.xml"/><Relationship Id="rId21" Type="http://schemas.openxmlformats.org/officeDocument/2006/relationships/image" Target="../media/image9.emf"/><Relationship Id="rId7" Type="http://schemas.openxmlformats.org/officeDocument/2006/relationships/image" Target="../media/image1.jpg"/><Relationship Id="rId12" Type="http://schemas.openxmlformats.org/officeDocument/2006/relationships/customXml" Target="../ink/ink6.xml"/><Relationship Id="rId17" Type="http://schemas.openxmlformats.org/officeDocument/2006/relationships/image" Target="../media/image7.emf"/><Relationship Id="rId2" Type="http://schemas.openxmlformats.org/officeDocument/2006/relationships/image" Target="../media/image10.emf"/><Relationship Id="rId16" Type="http://schemas.openxmlformats.org/officeDocument/2006/relationships/customXml" Target="../ink/ink8.xml"/><Relationship Id="rId20" Type="http://schemas.openxmlformats.org/officeDocument/2006/relationships/customXml" Target="../ink/ink10.xml"/><Relationship Id="rId1" Type="http://schemas.openxmlformats.org/officeDocument/2006/relationships/customXml" Target="../ink/ink2.xml"/><Relationship Id="rId6" Type="http://schemas.openxmlformats.org/officeDocument/2006/relationships/image" Target="../media/image21.emf"/><Relationship Id="rId11" Type="http://schemas.openxmlformats.org/officeDocument/2006/relationships/image" Target="../media/image4.emf"/><Relationship Id="rId5" Type="http://schemas.openxmlformats.org/officeDocument/2006/relationships/customXml" Target="../ink/ink4.xml"/><Relationship Id="rId15" Type="http://schemas.openxmlformats.org/officeDocument/2006/relationships/image" Target="../media/image6.emf"/><Relationship Id="rId10" Type="http://schemas.openxmlformats.org/officeDocument/2006/relationships/customXml" Target="../ink/ink5.xml"/><Relationship Id="rId19" Type="http://schemas.openxmlformats.org/officeDocument/2006/relationships/image" Target="../media/image8.emf"/><Relationship Id="rId4" Type="http://schemas.openxmlformats.org/officeDocument/2006/relationships/image" Target="../media/image20.emf"/><Relationship Id="rId9" Type="http://schemas.openxmlformats.org/officeDocument/2006/relationships/image" Target="../media/image3.jpeg"/><Relationship Id="rId14" Type="http://schemas.openxmlformats.org/officeDocument/2006/relationships/customXml" Target="../ink/ink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ustomXml" Target="../ink/ink11.xml"/><Relationship Id="rId4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24</xdr:row>
      <xdr:rowOff>252598</xdr:rowOff>
    </xdr:from>
    <xdr:to>
      <xdr:col>6</xdr:col>
      <xdr:colOff>151685</xdr:colOff>
      <xdr:row>25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  <xdr:twoCellAnchor>
    <xdr:from>
      <xdr:col>4</xdr:col>
      <xdr:colOff>104514</xdr:colOff>
      <xdr:row>1</xdr:row>
      <xdr:rowOff>259520</xdr:rowOff>
    </xdr:from>
    <xdr:to>
      <xdr:col>7</xdr:col>
      <xdr:colOff>636702</xdr:colOff>
      <xdr:row>2</xdr:row>
      <xdr:rowOff>298422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Szabadkéz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14:cNvPr>
            <xdr14:cNvContentPartPr/>
          </xdr14:nvContentPartPr>
          <xdr14:nvPr macro=""/>
          <xdr14:xfrm>
            <a:off x="5913384" y="441737"/>
            <a:ext cx="4259361" cy="447511"/>
          </xdr14:xfrm>
        </xdr:contentPart>
      </mc:Choice>
      <mc:Fallback xmlns="">
        <xdr:pic>
          <xdr:nvPicPr>
            <xdr:cNvPr id="18" name="Szabadkéz 17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731950" y="388807"/>
              <a:ext cx="6245280" cy="7279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178595</xdr:colOff>
      <xdr:row>42</xdr:row>
      <xdr:rowOff>94257</xdr:rowOff>
    </xdr:from>
    <xdr:to>
      <xdr:col>3</xdr:col>
      <xdr:colOff>1046758</xdr:colOff>
      <xdr:row>42</xdr:row>
      <xdr:rowOff>114101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5025431" y="13662422"/>
          <a:ext cx="868163" cy="198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</xdr:colOff>
      <xdr:row>34</xdr:row>
      <xdr:rowOff>100541</xdr:rowOff>
    </xdr:from>
    <xdr:to>
      <xdr:col>6</xdr:col>
      <xdr:colOff>1053041</xdr:colOff>
      <xdr:row>40</xdr:row>
      <xdr:rowOff>142875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7833" y="11959167"/>
          <a:ext cx="3317875" cy="1375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Garanciális problémák;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Sütő, leveri a fi relét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Egyik ajtó keret nincs beragasztva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led burkolatok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led villogás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led festék takarítás</a:t>
          </a:r>
        </a:p>
        <a:p>
          <a:pPr lvl="0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szobai mennyezet javítása </a:t>
          </a:r>
        </a:p>
        <a:p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1402786</xdr:colOff>
      <xdr:row>111</xdr:row>
      <xdr:rowOff>71676</xdr:rowOff>
    </xdr:from>
    <xdr:to>
      <xdr:col>10</xdr:col>
      <xdr:colOff>330455</xdr:colOff>
      <xdr:row>117</xdr:row>
      <xdr:rowOff>158692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14:cNvPr>
            <xdr14:cNvContentPartPr/>
          </xdr14:nvContentPartPr>
          <xdr14:nvPr macro=""/>
          <xdr14:xfrm>
            <a:off x="9390583" y="33890141"/>
            <a:ext cx="2200120" cy="1944863"/>
          </xdr14:xfrm>
        </xdr:contentPart>
      </mc:Choice>
      <mc:Fallback xmlns="">
        <xdr:pic>
          <xdr:nvPicPr>
            <xdr:cNvPr id="6" name="Szabadkéz 5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810561" y="34656407"/>
              <a:ext cx="2198547" cy="66603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278961</xdr:colOff>
      <xdr:row>115</xdr:row>
      <xdr:rowOff>179825</xdr:rowOff>
    </xdr:from>
    <xdr:to>
      <xdr:col>11</xdr:col>
      <xdr:colOff>444695</xdr:colOff>
      <xdr:row>123</xdr:row>
      <xdr:rowOff>241684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9209" y="35309157"/>
          <a:ext cx="2919496" cy="2465036"/>
        </a:xfrm>
        <a:prstGeom prst="rect">
          <a:avLst/>
        </a:prstGeom>
      </xdr:spPr>
    </xdr:pic>
    <xdr:clientData/>
  </xdr:twoCellAnchor>
  <xdr:twoCellAnchor>
    <xdr:from>
      <xdr:col>10</xdr:col>
      <xdr:colOff>320475</xdr:colOff>
      <xdr:row>174</xdr:row>
      <xdr:rowOff>258962</xdr:rowOff>
    </xdr:from>
    <xdr:to>
      <xdr:col>12</xdr:col>
      <xdr:colOff>300633</xdr:colOff>
      <xdr:row>189</xdr:row>
      <xdr:rowOff>187525</xdr:rowOff>
    </xdr:to>
    <xdr:cxnSp macro="">
      <xdr:nvCxnSpPr>
        <xdr:cNvPr id="4" name="Egyenes összekötő nyíll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 flipV="1">
          <a:off x="11586765" y="55573415"/>
          <a:ext cx="3651251" cy="4742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2220516</xdr:colOff>
      <xdr:row>125</xdr:row>
      <xdr:rowOff>166688</xdr:rowOff>
    </xdr:from>
    <xdr:to>
      <xdr:col>14</xdr:col>
      <xdr:colOff>1113810</xdr:colOff>
      <xdr:row>141</xdr:row>
      <xdr:rowOff>816839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3829" y="38552438"/>
          <a:ext cx="4703544" cy="5567433"/>
        </a:xfrm>
        <a:prstGeom prst="rect">
          <a:avLst/>
        </a:prstGeom>
      </xdr:spPr>
    </xdr:pic>
    <xdr:clientData/>
  </xdr:twoCellAnchor>
  <xdr:twoCellAnchor editAs="oneCell">
    <xdr:from>
      <xdr:col>10</xdr:col>
      <xdr:colOff>558754</xdr:colOff>
      <xdr:row>104</xdr:row>
      <xdr:rowOff>799724</xdr:rowOff>
    </xdr:from>
    <xdr:to>
      <xdr:col>12</xdr:col>
      <xdr:colOff>400824</xdr:colOff>
      <xdr:row>112</xdr:row>
      <xdr:rowOff>74653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9037" y="30641730"/>
          <a:ext cx="3508296" cy="357822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7</xdr:col>
      <xdr:colOff>245989</xdr:colOff>
      <xdr:row>104</xdr:row>
      <xdr:rowOff>1356762</xdr:rowOff>
    </xdr:from>
    <xdr:to>
      <xdr:col>10</xdr:col>
      <xdr:colOff>625196</xdr:colOff>
      <xdr:row>109</xdr:row>
      <xdr:rowOff>193474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1" name="Szabadkéz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14:cNvPr>
            <xdr14:cNvContentPartPr/>
          </xdr14:nvContentPartPr>
          <xdr14:nvPr macro=""/>
          <xdr14:xfrm>
            <a:off x="9815919" y="31198768"/>
            <a:ext cx="2059560" cy="1954800"/>
          </xdr14:xfrm>
        </xdr:contentPart>
      </mc:Choice>
      <mc:Fallback xmlns="">
        <xdr:pic>
          <xdr:nvPicPr>
            <xdr:cNvPr id="11" name="Szabadkéz 10"/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9809831" y="31190524"/>
              <a:ext cx="2074959" cy="1968434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432733</xdr:colOff>
      <xdr:row>116</xdr:row>
      <xdr:rowOff>94843</xdr:rowOff>
    </xdr:from>
    <xdr:to>
      <xdr:col>10</xdr:col>
      <xdr:colOff>572091</xdr:colOff>
      <xdr:row>117</xdr:row>
      <xdr:rowOff>261900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9" name="Szabadkéz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14:cNvPr>
            <xdr14:cNvContentPartPr/>
          </xdr14:nvContentPartPr>
          <xdr14:nvPr macro=""/>
          <xdr14:xfrm>
            <a:off x="11095442" y="35598147"/>
            <a:ext cx="744120" cy="439200"/>
          </xdr14:xfrm>
        </xdr:contentPart>
      </mc:Choice>
      <mc:Fallback xmlns="">
        <xdr:pic>
          <xdr:nvPicPr>
            <xdr:cNvPr id="19" name="Szabadkéz 18"/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1085357" y="35587984"/>
              <a:ext cx="761048" cy="45952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211433</xdr:colOff>
      <xdr:row>109</xdr:row>
      <xdr:rowOff>13871</xdr:rowOff>
    </xdr:from>
    <xdr:to>
      <xdr:col>5</xdr:col>
      <xdr:colOff>1199273</xdr:colOff>
      <xdr:row>109</xdr:row>
      <xdr:rowOff>358031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25" name="Szabadkéz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14:cNvPr>
            <xdr14:cNvContentPartPr/>
          </xdr14:nvContentPartPr>
          <xdr14:nvPr macro=""/>
          <xdr14:xfrm>
            <a:off x="6746642" y="33094347"/>
            <a:ext cx="987840" cy="344160"/>
          </xdr14:xfrm>
        </xdr:contentPart>
      </mc:Choice>
      <mc:Fallback xmlns="">
        <xdr:pic>
          <xdr:nvPicPr>
            <xdr:cNvPr id="25" name="Szabadkéz 24"/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6739442" y="33086427"/>
              <a:ext cx="1004400" cy="359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145285</xdr:colOff>
      <xdr:row>112</xdr:row>
      <xdr:rowOff>246669</xdr:rowOff>
    </xdr:from>
    <xdr:to>
      <xdr:col>6</xdr:col>
      <xdr:colOff>1544965</xdr:colOff>
      <xdr:row>113</xdr:row>
      <xdr:rowOff>251913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6" name="Szabadkéz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14:cNvPr>
            <xdr14:cNvContentPartPr/>
          </xdr14:nvContentPartPr>
          <xdr14:nvPr macro=""/>
          <xdr14:xfrm>
            <a:off x="8131922" y="34253187"/>
            <a:ext cx="1399680" cy="387000"/>
          </xdr14:xfrm>
        </xdr:contentPart>
      </mc:Choice>
      <mc:Fallback xmlns="">
        <xdr:pic>
          <xdr:nvPicPr>
            <xdr:cNvPr id="26" name="Szabadkéz 25"/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8125082" y="34244474"/>
              <a:ext cx="1416240" cy="40442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549771</xdr:colOff>
      <xdr:row>115</xdr:row>
      <xdr:rowOff>82226</xdr:rowOff>
    </xdr:from>
    <xdr:to>
      <xdr:col>10</xdr:col>
      <xdr:colOff>1343571</xdr:colOff>
      <xdr:row>117</xdr:row>
      <xdr:rowOff>62460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7" name="Szabadkéz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14:cNvPr>
            <xdr14:cNvContentPartPr/>
          </xdr14:nvContentPartPr>
          <xdr14:nvPr macro=""/>
          <xdr14:xfrm>
            <a:off x="11817242" y="35313387"/>
            <a:ext cx="793800" cy="524520"/>
          </xdr14:xfrm>
        </xdr:contentPart>
      </mc:Choice>
      <mc:Fallback xmlns="">
        <xdr:pic>
          <xdr:nvPicPr>
            <xdr:cNvPr id="27" name="Szabadkéz 26"/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1809682" y="35306457"/>
              <a:ext cx="810720" cy="539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549771</xdr:colOff>
      <xdr:row>106</xdr:row>
      <xdr:rowOff>82226</xdr:rowOff>
    </xdr:from>
    <xdr:to>
      <xdr:col>10</xdr:col>
      <xdr:colOff>1343571</xdr:colOff>
      <xdr:row>108</xdr:row>
      <xdr:rowOff>62460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34" name="Szabadkéz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14:cNvPr>
            <xdr14:cNvContentPartPr/>
          </xdr14:nvContentPartPr>
          <xdr14:nvPr macro=""/>
          <xdr14:xfrm>
            <a:off x="11817242" y="35313387"/>
            <a:ext cx="793800" cy="524520"/>
          </xdr14:xfrm>
        </xdr:contentPart>
      </mc:Choice>
      <mc:Fallback xmlns="">
        <xdr:pic>
          <xdr:nvPicPr>
            <xdr:cNvPr id="34" name="Szabadkéz 33"/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1809682" y="35306457"/>
              <a:ext cx="810720" cy="539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5953</xdr:colOff>
      <xdr:row>144</xdr:row>
      <xdr:rowOff>130969</xdr:rowOff>
    </xdr:from>
    <xdr:to>
      <xdr:col>11</xdr:col>
      <xdr:colOff>422673</xdr:colOff>
      <xdr:row>146</xdr:row>
      <xdr:rowOff>34464</xdr:rowOff>
    </xdr:to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266759" y="45763239"/>
          <a:ext cx="3170824" cy="1332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hu-H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fürdő2, wc, pult, szoba2,</a:t>
          </a:r>
          <a:r>
            <a:rPr lang="hu-H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nappali 4</a:t>
          </a:r>
        </a:p>
        <a:p>
          <a:r>
            <a:rPr lang="hu-HU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hu-H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konnektor</a:t>
          </a:r>
        </a:p>
        <a:p>
          <a:r>
            <a:rPr lang="hu-HU" sz="1100" b="1">
              <a:solidFill>
                <a:srgbClr val="FF0000"/>
              </a:solidFill>
            </a:rPr>
            <a:t>7</a:t>
          </a:r>
          <a:r>
            <a:rPr lang="hu-HU" sz="1100"/>
            <a:t> - sarokcsap</a:t>
          </a:r>
        </a:p>
        <a:p>
          <a:r>
            <a:rPr lang="hu-HU" sz="1100" b="1">
              <a:solidFill>
                <a:srgbClr val="FF0000"/>
              </a:solidFill>
            </a:rPr>
            <a:t>4</a:t>
          </a:r>
          <a:r>
            <a:rPr lang="hu-HU" sz="1100" baseline="0"/>
            <a:t> - mosogatószar, fi rellé, wc gomb, klima irányító hova is?</a:t>
          </a:r>
        </a:p>
        <a:p>
          <a:r>
            <a:rPr lang="hu-HU" sz="1400" b="1" baseline="0">
              <a:solidFill>
                <a:srgbClr val="FF0000"/>
              </a:solidFill>
            </a:rPr>
            <a:t>44</a:t>
          </a:r>
        </a:p>
        <a:p>
          <a:endParaRPr lang="hu-HU" sz="1400" b="1" baseline="0">
            <a:solidFill>
              <a:srgbClr val="FF0000"/>
            </a:solidFill>
          </a:endParaRPr>
        </a:p>
        <a:p>
          <a:endParaRPr lang="hu-HU" sz="1100"/>
        </a:p>
        <a:p>
          <a:endParaRPr lang="hu-HU" sz="1100"/>
        </a:p>
      </xdr:txBody>
    </xdr:sp>
    <xdr:clientData/>
  </xdr:twoCellAnchor>
  <xdr:twoCellAnchor>
    <xdr:from>
      <xdr:col>9</xdr:col>
      <xdr:colOff>602633</xdr:colOff>
      <xdr:row>142</xdr:row>
      <xdr:rowOff>208606</xdr:rowOff>
    </xdr:from>
    <xdr:to>
      <xdr:col>11</xdr:col>
      <xdr:colOff>410811</xdr:colOff>
      <xdr:row>143</xdr:row>
      <xdr:rowOff>857250</xdr:rowOff>
    </xdr:to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257251" y="44547088"/>
          <a:ext cx="3165543" cy="924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hu-H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csapok4, lefolyószifonok4, mosdó2, tükör1, </a:t>
          </a:r>
          <a:endParaRPr lang="hu-H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u-HU" sz="11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hu-H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lámpák2, zuhanycsoda1, sütő2, törölközőszárító1</a:t>
          </a:r>
          <a:endParaRPr lang="hu-HU" sz="1100" baseline="0"/>
        </a:p>
        <a:p>
          <a:r>
            <a:rPr lang="hu-HU" sz="1400" b="1" baseline="0">
              <a:solidFill>
                <a:srgbClr val="FF0000"/>
              </a:solidFill>
            </a:rPr>
            <a:t>17</a:t>
          </a:r>
        </a:p>
        <a:p>
          <a:endParaRPr lang="hu-HU" sz="1400" b="1" baseline="0">
            <a:solidFill>
              <a:srgbClr val="FF0000"/>
            </a:solidFill>
          </a:endParaRPr>
        </a:p>
        <a:p>
          <a:endParaRPr lang="hu-HU" sz="1100"/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1389459</xdr:colOff>
      <xdr:row>226</xdr:row>
      <xdr:rowOff>186359</xdr:rowOff>
    </xdr:from>
    <xdr:to>
      <xdr:col>13</xdr:col>
      <xdr:colOff>296583</xdr:colOff>
      <xdr:row>226</xdr:row>
      <xdr:rowOff>186359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3067937" y="44622555"/>
          <a:ext cx="4000929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81064</xdr:colOff>
      <xdr:row>71</xdr:row>
      <xdr:rowOff>253324</xdr:rowOff>
    </xdr:from>
    <xdr:to>
      <xdr:col>9</xdr:col>
      <xdr:colOff>222926</xdr:colOff>
      <xdr:row>76</xdr:row>
      <xdr:rowOff>314122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727660" y="16567420"/>
          <a:ext cx="2381250" cy="14388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1414099</xdr:colOff>
      <xdr:row>98</xdr:row>
      <xdr:rowOff>162967</xdr:rowOff>
    </xdr:from>
    <xdr:to>
      <xdr:col>9</xdr:col>
      <xdr:colOff>222926</xdr:colOff>
      <xdr:row>99</xdr:row>
      <xdr:rowOff>192526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62344" y="22445387"/>
          <a:ext cx="2608694" cy="3132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0768165" y="4427797"/>
            <a:ext cx="408389" cy="713657"/>
          </xdr14:xfrm>
        </xdr:contentPart>
      </mc:Choice>
      <mc:Fallback xmlns="">
        <xdr:pic>
          <xdr:nvPicPr>
            <xdr:cNvPr id="8" name="Szabadkéz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734673" y="4402930"/>
              <a:ext cx="472492" cy="7702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1419346</xdr:colOff>
      <xdr:row>101</xdr:row>
      <xdr:rowOff>154140</xdr:rowOff>
    </xdr:from>
    <xdr:to>
      <xdr:col>9</xdr:col>
      <xdr:colOff>228173</xdr:colOff>
      <xdr:row>102</xdr:row>
      <xdr:rowOff>183699</xdr:rowOff>
    </xdr:to>
    <xdr:cxnSp macro="">
      <xdr:nvCxnSpPr>
        <xdr:cNvPr id="29" name="Egyenes összekötő nyíllal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10261722" y="22881849"/>
          <a:ext cx="2851660" cy="29943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9.46118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1-01T16:38:20.447"/>
    </inkml:context>
    <inkml:brush xml:id="br0">
      <inkml:brushProperty name="width" value="0.01764" units="cm"/>
      <inkml:brushProperty name="height" value="0.01764" units="cm"/>
      <inkml:brushProperty name="color" value="#FF0000"/>
    </inkml:brush>
  </inkml:definitions>
  <inkml:traceGroup>
    <inkml:annotationXML>
      <emma:emma xmlns:emma="http://www.w3.org/2003/04/emma" version="1.0">
        <emma:interpretation id="{D99866A2-78F3-43F4-A0A8-8DD60AA4A5AB}" emma:medium="tactile" emma:mode="ink">
          <msink:context xmlns:msink="http://schemas.microsoft.com/ink/2010/main" type="writingRegion" rotatedBoundingBox="15900,1292 33228,955 33263,2753 15935,3090"/>
        </emma:interpretation>
      </emma:emma>
    </inkml:annotationXML>
    <inkml:traceGroup>
      <inkml:annotationXML>
        <emma:emma xmlns:emma="http://www.w3.org/2003/04/emma" version="1.0">
          <emma:interpretation id="{12B27BB3-1D43-4BBF-B6AB-39E2AD0C395B}" emma:medium="tactile" emma:mode="ink">
            <msink:context xmlns:msink="http://schemas.microsoft.com/ink/2010/main" type="paragraph" rotatedBoundingBox="15900,1292 33228,955 33263,2753 15935,309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AB462BB5-31A5-4063-9E37-D13B113C9D70}" emma:medium="tactile" emma:mode="ink">
              <msink:context xmlns:msink="http://schemas.microsoft.com/ink/2010/main" type="line" rotatedBoundingBox="15900,1292 33228,955 33263,2753 15935,3090"/>
            </emma:interpretation>
          </emma:emma>
        </inkml:annotationXML>
        <inkml:traceGroup>
          <inkml:annotationXML>
            <emma:emma xmlns:emma="http://www.w3.org/2003/04/emma" version="1.0">
              <emma:interpretation id="{C4BEF77B-A2ED-4FB6-9B92-06DF81187746}" emma:medium="tactile" emma:mode="ink">
                <msink:context xmlns:msink="http://schemas.microsoft.com/ink/2010/main" type="inkWord" rotatedBoundingBox="15910,1834 18515,1783 18539,3039 15935,3090"/>
              </emma:interpretation>
            </emma:emma>
          </inkml:annotationXML>
          <inkml:trace contextRef="#ctx0" brushRef="#br0">898-146 454 0,'-9'-19'149'16,"6"3"-37"-16,3 16-85 15,-17-18-1-15,17 18-4 16,-21-15-6-16,7 12 1 15,-5-4-3-15,1 7-2 16,-6-1-1-16,6 1 1 16,-7 2-1-16,5 8-3 15,2-2 1-15,5 11-1 16,5-1-2-16,1 8 2 16,7 4-5-16,3 2 3 0,4 4-7 15,7 1 5 1,-1 0-5-16,-1-5 3 0,2-4-2 15,-3-4 5-15,0-8 1 16,1-6 1-16,-1-8 0 16,6-2 0-16,-4-8 1 15,7-5-2-15,-3-6 0 16,4-1-4-16,-5-7 0 16,1 2-3-16,-3-2 4 15,-1 4-4-15,-5-3 3 16,-8 6-4-16,0 1 3 0,-10 1-1 15,-7 5 0 1,-5 2 2-16,-2 3-2 16,-5 1-1-16,2 3 2 15,0 4-4-15,7 0-7 0,-2 4-8 16,19 15-22-16,-11-14-25 16,24 23-21-16,-10-28-12 15,20 38-18-15,-14-28-7 16,22 13-8-16,-16-10 2 15,12-4 18-15</inkml:trace>
          <inkml:trace contextRef="#ctx0" brushRef="#br0" timeOffset="-1336.89">10 482 412 0,'-10'-1'169'0,"10"1"-5"16,1-11-54-16,-1-7-86 0,17 3-6 15,-4-8-3 1,8 2-5-16,-1-7-7 0,5-3 4 16,1-6 0-16,2-1 1 15,-4-11 2-15,3-4 2 16,-2-7-2-16,4 3-1 16,-3-3 7-16,3 3-5 15,-5 3-6-15,-3 7-2 16,0 9-3-16,-4 11 0 15,-4 6 0-15,-3 7 0 16,-10 14 0-16,11-9 0 0,-11 9 0 16,0 6 0-1,0-6 0-15,0 17 0 16,-6-2 0-16,2 5 0 0,0 4 0 16,2 8 0-16,1 5 0 15,1 8 0-15,0 4 0 16,6 5 0-16,2 3 0 15,-1-8 0-15,14 2-156 16,-9-10-18-16,1-14-8 16,-4-14-22-16,-9-13-4 15</inkml:trace>
          <inkml:trace contextRef="#ctx0" brushRef="#br0" timeOffset="827.55">1165-246 605 0,'-2'-13'154'15,"2"13"1"-15,-19-3-139 0,19 3-9 16,0 0-4-1,0 0 0-15,-9 6 4 16,9-6-7-16,0 13 8 16,0-4-8-16,0 0 3 15,4 4-1-15,5 3 2 0,2 3-3 16,1 3 0-16,5 5 3 16,1 0-5-16,3 0 4 15,-1-1-5-15,2 0 3 16,2-4-1-16,-1-1 2 15,-2-2-2-15,1-7 3 16,0-1-4-16,-2-4 3 16,-3 0 2-16,-8-4-1 15,-9-3-1-15,0 0 0 16,0 0 1-16,-9 10-1 16,-16-8 2-16,-6-2-2 15,-6 1 0-15,-2-1-2 0,-3 0 0 16,4 0 0-16,2-5 1 15,2 0-1-15,9-3-2 16,3-3 1-16,7-1 0 16,5-1 0-16,6-5 0 15,4-2 0-15,7-1 2 16,6-5-3-16,7 3 4 16,8 0-2-16,3-1 3 15,7 2-4-15,1-2 7 16,3 5-3-16,-4 1-2 15,-2 1 7-15,1 2-6 16,-8 0 0-16,-4 2-2 16,-6 3 0-16,-5 0 0 0,-7 0 0 15,-6 1 0-15,-1 9 0 16,-12-13 0 0,-7 9 0-16,-9 0 0 15,-4 1 0-15,-2 3 0 0,-3-1-6 16,8 5-28-16,-14-4-22 15,23 13-14-15,-13-13-17 16,27 20-7-16,-15-15-9 16,22 14-6-16,-1-19-7 15,7 24 14-15,6-14 21 16,11 1 13-16,11 1 15 16,1-6 9-16</inkml:trace>
          <inkml:trace contextRef="#ctx0" brushRef="#br0" timeOffset="1276.83">1727 93 650 0,'15'1'168'16,"-15"-1"-4"-16,0 0-126 16,4-14-35-16,5 4-3 15,-4-8 0-15,2 6 0 16,-5-11 0-16,-2 7 0 16,0-7 0-16,-2-1 0 0,-3 6 0 15,-5-1 0 1,-1 3 0-16,-3-4 0 15,14 20-131-15,-11-16-52 16,0 16-10-16,-1 6-12 0,3 3-10 16</inkml:trace>
        </inkml:traceGroup>
        <inkml:traceGroup>
          <inkml:annotationXML>
            <emma:emma xmlns:emma="http://www.w3.org/2003/04/emma" version="1.0">
              <emma:interpretation id="{61D8CF6F-7D4E-4B6F-BDEA-2234488A1F63}" emma:medium="tactile" emma:mode="ink">
                <msink:context xmlns:msink="http://schemas.microsoft.com/ink/2010/main" type="inkWord" rotatedBoundingBox="18885,1234 26374,1088 26401,2494 18913,2640"/>
              </emma:interpretation>
            </emma:emma>
          </inkml:annotationXML>
          <inkml:trace contextRef="#ctx0" brushRef="#br0" timeOffset="7537.03">3776 87 44 0,'0'0'133'16,"18"16"7"-16,-13-23-2 16,21 5-5-16,-15-22-7 15,21 6-2-15,-20-20-3 16,22 5-91-16,-13-2-18 15,3-4-8-15,-2-4-2 16,-10 4 2-16,-2-3-2 16,-4 5 5-16,-5 1-6 15,-1 5 1-15,0 7-2 16,0 2 0-16,-4 10 0 16,4 12 0-16,0 0 0 15,-3 9 0-15,3 13 0 16,0 5 0-16,3 7 0 0,1 7 0 15,4 6 0-15,1 0 0 16,3 1 0-16,0-2 0 16,-1-7 0-16,4 1 0 15,-4-9 0-15,6-8 0 16,0-10 0-16,3-9 0 16,-4-6 0-16,5-9 0 15,0-9 0-15,-2-4 0 16,-2-6 0-16,-2-1 0 15,-6-1 0-15,-2 1 0 16,-1 0 0-16,-6 4 0 16,0 2 0-16,-6 7 0 15,-1 0 0-15,1 6 0 0,0 3 0 16,6 9 0-16,0 0 0 16,-10 0 0-16,10 5 0 15,5 5 0-15,7 7 0 16,6 1 0-16,7 3 0 15,0-1 0-15,9-1 0 16,-2-4 0-16,9-2 0 16,-8-4 0-16,8-4-12 15,-7-5 4-15,1 0 1 16,-5 0 4-16,-5-3 1 16,-6-5 2-16,-4 3 2 15,-5-3 1-15,-10 8 0 16,7-18 1-16,-7 8-1 0,-7-3-3 15,-5 0 4-15,-1-2-2 16,-6 2 3-16,-1 0 1 16,-5 0-6-1,6 5 0-15,-2 1 0 0,2 3 0 16,5 4 0-16,0 0 0 16,14 0 0-16,-12 20 0 15,12-8 0-15,4 3 0 16,6-4 0-16,5 4 0 15,7-3 0-15,-2-4 0 16,1-2 0-16,3-3 0 16,-2-2 0-16,-2 0 0 0,-2-1 0 15,-6-2 0-15,-12 2 0 16,14-9 0 0,-14 9 0-16,-1-11 0 15,-12 6 0-15,-1-2 0 0,-6 7 0 16,1-4 0-16,-1 2 0 15,0 2 0-15,1 0 0 16,9 0 0-16,10 0 0 16,0 0 0-16,0 0 0 15,22 4 0-15,5 1 0 16,5 0 0-16,7 3 0 16,0-1 0-16,3 2 0 15,-3-1 0-15,0 0 0 0,-8-6 0 16,-3-2 0-1,-4-4 0-15,-7-11 0 16,-3-8 0-16,-4-5 0 16,-5-10 0-16,-5-7 0 0,-5-7 0 15,-5-5 0-15,-4-2 0 16,0-1 0-16,-2 5 0 16,1 4 0-16,0 9 0 15,4 11 0-15,0 9 0 16,11 22 0-16,-18-4 0 15,7 19 0-15,0 12 0 16,2 15 0-16,-2 10 0 16,2 8 0-16,-1 6 0 15,3 6 0-15,3 5 0 16,4 1 0-16,2-2 0 16,7-6 0-16,7-9 0 15,12-11 0-15,7-10 0 0,9-17 0 16,7-17 0-16,3-11 0 15,3-23 0-15,0-8 0 16,-2-11 0-16,-5-7 0 16,-6-5 0-16,-6-5 0 15,-8 1 0-15,-8-6 0 16,-7 3 0-16,-6 1 0 16,-6 3 0-16,-3 6 0 15,0 5 0-15,-4 9 0 16,-3 9 0-16,3 12 0 15,-3 11 0-15,7 10 0 16,-2 7 0-16,2 12 0 16,0 9 0-16,3 11 0 0,6 9 0 15,2 6 0-15,4 3 0 16,0 2 0-16,3-1 0 16,-2 2 0-16,2-4 0 15,-4-8 0-15,-1-6 0 16,-4-6 0-16,-3-14 0 15,-6-3 0-15,0-19 0 16,-17 4 0-16,-5-14 0 16,-3-10 0-16,-9-12 0 15,-3 0 0-15,-3-3 0 16,-6-2 0-16,5 3 0 16,-2 2 0-16,3 8 0 15,10 8 0-15,2 7 0 0,9 7 0 16,10 4 0-16,9 10 0 15,9 0 0 1,19 5 0-16,20-2 0 16,24-7 0-16,22-3 0 0,29-12 0 15,24-17 0-15,35-14 0 16,15-26-13-16,31-10-23 16,6-33-5-16,26-13 3 15</inkml:trace>
          <inkml:trace contextRef="#ctx0" brushRef="#br0" timeOffset="4110.74">2104-407 536 0,'0'0'163'0,"0"13"-9"0,4 4-137 15,-4-1-4-15,0 6-7 16,0 1-1-16,-7 4-9 15,3-2 6-15,-3 1-5 16,-1-8 7-16,-3 3-5 16,4-7 0-16,-2 0-1 15,2-4 2-15,7-10 4 16,0 10-2-16,0-10-1 16,13-1 1-16,6-5-3 0,1-1 2 15,6 0 0 1,2-2 1-16,1 5 0 15,-2-1 2-15,2 5 2 16,-9-2-1-16,3 2 2 0,-11 6 4 16,0 5 1-16,-11 4-2 15,-1 7 3-15,-6-2-4 16,-3 9 0-16,-7 1-5 16,-1 3 4-16,-3-2-8 15,1 3 0-15,-3-6-4 16,0-3-3-16,3-3-8 15,-3-12-8-15,9 5-18 16,-12-20-11-16,25 5-11 0,-32-23-13 16,31 8-5-1,-21-26-7-15,22 10-2 16,-12-17-2-16,12 4 14 16,-1-2 6-16,1-1 9 0,0 7 9 15,3-2 11-15,6 8 5 16,-2 3 17-16</inkml:trace>
          <inkml:trace contextRef="#ctx0" brushRef="#br0" timeOffset="4394.92">2104-407 86 0,'-18'38'145'0,"30"-38"2"16,-12-13-4-16,12 15-4 15,-12-13-6-15,17 11 2 16,-12-19-40-16,10 7-95 16,9-1 0-16,7 4 0 0,5-5 0 15,-1-1 0 1,6 1 0-16,-2 0 0 15,6 2 0-15,-5-3-19 16,3 8-11-16,-5-11-13 0,8 14-4 16,-22-16-6-16,11 15-6 15,-27-14-5-15,9 15-3 16,-20-16 1-16,3 20 6 16,-26-14 4-16,9 14 0 15,-12 2-1-15,5 13 2 16,-7 2 2-16,6 8 2 15,-2 2-1-15,5 6 6 16,6 11 2-16,0-5 3 16</inkml:trace>
          <inkml:trace contextRef="#ctx0" brushRef="#br0" timeOffset="5660.78">2561 64 708 0,'9'-29'147'0,"12"4"-11"16,-13-7-131-16,5 0-4 15,-5-3 2-15,2-1 1 0,-2-2-1 16,-2 0 3-16,-1-4-2 16,9-1 2-16,-5-1-6 15,7 5 0-15,-1 2 0 16,7 5 0-16,-4 4 0 16,-3 4 0-16,-1 9 0 15,-1 9 0-15,-3 6 0 16,-2 7 0-16,-3 13 0 15,1 8 0-15,-5 9 0 16,4 6 0-16,-4 7 0 16,-1 5 0-16,-1 7 0 15,-5 3 0-15,1-1 0 16,-1-3 0-16,6-2 0 0,-7-7 0 16,11-5-35-16,-4-21-4 15,15-3-14-15,-9-28-6 16,21 0-6-1,-16-32-10-15,22 11 5 0,-20-22 0 16,20 9 6-16,-18-11 5 16,14 10 6-16,-11 2 5 15,6 7 5-15,-7 4 5 16,4 2 4-16,-2 3 2 16,1 3 7-16,0 5 2 15,-2-5 3-15,1 5 3 16,-13-12 129-16,18 17 6 15,-24-18-1-15,12 20 3 0,-15-20-7 16,12 24 1-16,-18-18-4 16,9 21-1-1,0 0-106-15,0 0-1 16,0 0-4-16,0 0 0 0,-15 17 0 16,4-2 4-16,-3 5-3 15,-3 6 3-15,0 1 3 16,-5 8-3-16,1 0-2 15,1 8 0-15,2 0 0 16,6 2 0-16,8-4 0 16,4-3 0-16,3 0 0 15,16-10 0-15,6-5 0 16,6-12 0-16,6-8 0 0,7-3 0 16,-2-9 0-16,-1-4 0 15,-5-4 0 1,-6-1 0-16,-9-2 0 15,-5 2 0-15,-10 4 0 0,-6 1 0 16,-16-1 0-16,-4 9 0 16,-11 1 0-16,-3 4 0 15,-7 1 0-15,1 7 0 16,-1 7 0-16,2 0 0 16,6 8 0-16,2-5 0 15,20 5-31-15,0-11-8 16,19 7-8-16,-8-19-4 15,33 4-3-15,-14-20-7 0,27 1 5 16,-17-23 2 0,14 2 7-16,-8-13 4 15,7 3 5-15,-4-4 10 16,6 1 0-16,-5 1 5 0,7 8 5 16,-5 7 2-16,7 5 1 15,-11 11 1-15,8 3 0 16,-7-1-7-16,-3 14 3 15,2-4-3-15,-7 5 0 16,0 0 2-16,-1 3-1 16,1 7-1-16,-7 3 0 15,-1 1 2-15,-5 0 2 16,0 9 1-16,-8-3-2 16,4 5 4-16,-9-3 1 15,-1-2-3-15,-3-3 6 16,4 0 2-16,-4-4-3 0,0-1 3 15,0-12 1-15,-4 15 1 16,4-15-2-16,-13 10 5 16,13-10-6-16,-15 4 8 15</inkml:trace>
          <inkml:trace contextRef="#ctx0" brushRef="#br0" timeOffset="25208.29">7133-688 312 0,'0'0'163'0,"-12"-18"-8"0,3 1-48 15,0 13-77-15,-16-7-1 16,8 4-4-16,-10-1-7 16,3 4-3-16,-7 0-2 15,-1 4-5-15,-3 3 1 16,-4 7 0-16,-2 1-5 16,-2 8-2-16,-2-1 0 15,2 6 3-15,5 2-6 16,4-1 5-16,5 5-5 15,9 2 4-15,10-3-5 16,10 1 4-16,6-3-3 16,13 1 4-16,12-5-3 0,4-5 2 15,8-4-1-15,4-4 3 16,3-2-2-16,4-3 3 16,-8-3-1-16,2 5-1 15,-8-3 1-15,-6 6 2 16,-9 0-1-16,-5 7 1 15,-14 2 2-15,-5 5-4 16,-7 2 4-16,-12 4-6 16,-10 2 6-16,-10 3-5 15,-12-3 3-15,-7 8-3 16,-8-5-2-16,-6-2 0 16,0-2-1-16,-8-4 1 15,7-6-1-15,2-4 0 0,7-8 0 16,9-9-4-16,13 0 2 15,7-9-5-15,17 0-6 16,5-8-19-16,17 14-33 16,-5-17-21-16,29 18-18 15,-11-18-9-15,14 17-13 16,-8-13-8-16,11 10-6 16,-6-4 22-16</inkml:trace>
        </inkml:traceGroup>
        <inkml:traceGroup>
          <inkml:annotationXML>
            <emma:emma xmlns:emma="http://www.w3.org/2003/04/emma" version="1.0">
              <emma:interpretation id="{256A0843-3D7E-496B-B824-362D6ACF24F1}" emma:medium="tactile" emma:mode="ink">
                <msink:context xmlns:msink="http://schemas.microsoft.com/ink/2010/main" type="inkWord" rotatedBoundingBox="26297,1270 32469,1150 32498,2642 26326,2762"/>
              </emma:interpretation>
            </emma:emma>
          </inkml:annotationXML>
          <inkml:trace contextRef="#ctx0" brushRef="#br0" timeOffset="26054.85">7180-463 421 0,'-21'5'151'0,"-4"-3"-4"15,-5-2-99-15,30 0-13 16,-22 0-14 0,22 0-7-16,0 0-4 0,7-13 1 15,11-2-1-15,9 3-3 16,7-5 3-16,9 2-2 15,5-2 2-15,2 7-3 16,0 0 1-16,0 6-3 16,-4 4-1-16,-6 2 0 15,-5 12-2-15,-14 4 2 16,-7 7-3-16,-7 4 2 16,-9 3-5-16,-13 2 6 15,-4 5-5-15,-9 0 1 16,-10-3 3-16,3 1-4 15,-8-2 4-15,1-3-4 16,1-3 5-16,3 3-6 0,8-4 6 16,1-3-3-16,10-4-4 15,6-5 4-15,8 0-1 16,5-16 0-16,8 11-2 16,8-11 1-16,13-3-1 15,6-8-2-15,5-2-1 16,5-3-9-16,3 7-19 15,-4-12-29-15,8 16-22 16,-14-14-12-16,4 12-15 16,-18-8-8-16,7 10-11 15,-19-4 3-15,1 1 12 16</inkml:trace>
          <inkml:trace contextRef="#ctx0" brushRef="#br0" timeOffset="26620.23">7326-264 496 0,'0'0'167'0,"17"-7"-10"0,-4 7-96 15,-13 0-39 1,28 5 2-16,-11-5-8 0,12 2-5 16,-4-2-3-16,6 0-3 15,4-5-3-15,2-3-5 16,5 2-8-16,-7-16-50 16,19 17-34-16,-27-19-25 15,10 13-10-15,-14-11-22 16,5 12-6-16,-14-5-7 15</inkml:trace>
          <inkml:trace contextRef="#ctx0" brushRef="#br0" timeOffset="27405.75">7721 267 628 0,'0'0'166'0,"-11"-2"-14"15,15-14-130-15,-2-12-13 16,7-10-9-16,8-7 2 15,-4-10-8-15,7-7 7 0,2-5-3 16,2 3 0-16,-2-4 0 16,0 3 0-16,-3 2 1 15,1-1 1-15,-5 8 2 16,0-2-2-16,-2 8-2 16,3 7 6-16,2 6-5 15,-2 7 3-15,1 11-2 16,4 14 0-16,-3 5 1 15,1 14-2-15,-1 11 3 16,1 8-3-16,-2 10 5 16,-2 5-5-16,4 5 5 15,-3 5-2-15,2 3 0 16,-2 1 0-16,1 0-1 0,-5-1-1 16,0-3-1-16,1-3 1 15,-9-6-3-15,0-8-1 16,-4-9 0-16,0-10-3 15,0-22 1-15,-8 2-3 16,-5-19 0-16,3-13 1 16,-9-7-4-16,0-5 4 15,-8-5 2-15,-2 1-1 16,0 4 8-16,-5 7 1 16,1 8 6-16,-4 7-2 15,9 6 12-15,-5 3-9 16,11 9 4-16,1-1 0 15,21 3-2-15,-16 0-1 0,16 0-2 16,24 6 1-16,5-1-9 16,10-1 5-16,4 2-1 15,7-3 1-15,9-1-5 16,0-1-4-16,1-1-4 16,2 0-11-16,-13-12-13 15,14 12-30-15,-28-17-24 16,18 12-16-16,-32-20-13 15,15 13-4-15,-25-13-16 16,10 11 6-16,-14-5 7 16,-5 3 36-16</inkml:trace>
          <inkml:trace contextRef="#ctx0" brushRef="#br0" timeOffset="28231.3">8581-384 725 0,'-16'2'139'0,"16"11"5"0,-5 2-135 15,5 10-7-15,3-2 2 16,2 6-4-16,3 0 0 16,-1-1-6-16,3 0 4 15,-3-3-6-15,4-1 4 16,0-8-1-16,2-1-2 16,-2-11-3-16,6 1-3 15,-6-7-9-15,7-1-13 16,-11-15-8-16,9 11-11 0,-16-18-6 15,0 25-3-15,-6-31 6 16,1 21 7-16,-24-11 19 16,6 7 18-16,-11 0 26 15,-6-4 14-15,4 7 15 16,-9-9 6-16,17 11 4 16,-13-14-3-16,24 14-3 15,-7-14-5-15,20 9-10 16,2-13-2-16,13 5-8 15,10-10 3-15,16 4-9 16,7-1 1-16,9 2-5 16,0 2 1-16,6 6-6 15,-3 4-6-15,-3 10 0 0,-13 5 0 16,-5 8 0-16,-13 6 0 16,-14 8 0-1,-8 3 0-15,-4 3 0 16,-13 0-2-16,-3-1-1 0,-4-1-5 15,0-7 4-15,4-3-4 16,3-7 2-16,6-4-1 16,11-5 2-16,-2-5 3 15,2 5 0-15,13-17 3 16,4 12 1-16,3 2 1 16,3 3 0-16,-3 8 1 15,3 7 0-15,-4 3-2 16,-3 11 0-16,-2 0 4 15,-5 8-6-15,-6 2 5 16,0 1-1-16,-3 0 1 16,-6 4-3-16,-10-4 2 15,2-1-4-15,-8-5 0 0,-4-2 0 16,-3-8 0-16,-1-8-6 16,2-6-6-16,-6-10-13 15,11 0-23-15,-13-20-18 16,24 13-17-16,-18-23-12 15,30 17-8-15,-15-16-12 16,22 17-4-16,-5-11 10 16,16 8 17-16,8 3 23 15,3-5 12-15</inkml:trace>
          <inkml:trace contextRef="#ctx0" brushRef="#br0" timeOffset="28750.66">9611-340 571 0,'-7'-27'133'16,"-6"14"-1"-16,-21-9-96 16,11 12-13-16,-21 1-7 15,7 9-5-15,-10 0-3 0,-1 11 0 16,1 7-3-16,-1 5 3 15,4 5 1 1,4 2-4-16,5 0 4 16,15 0-3-16,3-2 1 15,15 1-5-15,6-7 5 0,16 0-6 16,12-7 0-16,7-4 2 16,4-6-1-16,5-5-3 15,2-5 3-15,0-11 3 16,-1-8-8-16,1-4 7 15,-3-4-5-15,-6-1 5 16,0-4-5-16,-10-3 4 16,-3 0-3-16,-10 0 0 15,-11 5 4-15,-7 0-4 16,-16 4 2-16,-8 3-4 16,-12 11 3-16,-5 8-3 15,1 9 0-15,-4 9-1 0,4 14-4 16,5 9-2-16,14 10-7 15,1-3-4-15,20 14-25 16,-3-16-19-16,26 14-18 16,-10-27-12-16,36 11-7 15,-14-27-10-15,33 6 0 16,-9-17 0-16,11-8 21 16,1-6 19-16,-2-11 17 15</inkml:trace>
          <inkml:trace contextRef="#ctx0" brushRef="#br0" timeOffset="29283.01">10075-530 552 0,'-17'0'122'0,"-7"0"-2"0,6 5-76 16,-5 0-39-16,6 2-4 15,2-4-1-15,2 0 3 16,2-3 3-16,11 0 8 15,-7-8 3-15,7 8 5 16,3-20 1-16,11 15-3 16,-3-6 1-16,8 9-1 15,-3 2-4-15,7 6-6 16,-6 13-3-16,2 6-7 16,-5 7 0-16,-1 9 0 15,-7 0 0-15,-2 7 0 0,-4-1 0 16,-1 0 0-16,-8-5 0 15,-3 0 0-15,-1-8 0 16,-2-4 0 0,0-5 0-16,-5-9 0 0,4-6 0 15,-4-6 0-15,3-4 0 16,2-3 0-16,4-2 0 16,-1-3 0-16,5-1 0 15,7 9 0-15,0-14 0 16,0 14 0-16,19-12 0 15,2 8 0-15,4 2 0 16,10 0 0-16,6 0 0 16,7-1 0-16,10-1 0 0,5 0 0 15,3 0 0 1,1-1 0-16,1 0 0 16,-4-3 0-16,1 4-9 15,-17-14-45-15,11 15-28 0,-32-21-15 16,17 14-15-16,-25-21-7 15,15 16-8-15,-24-21-5 16,12 10 8-16,-13 0 28 16,0-2 28-16</inkml:trace>
          <inkml:trace contextRef="#ctx0" brushRef="#br0" timeOffset="29783.34">10833-500 704 0,'0'0'149'0,"-28"2"-4"15,13 12-132-15,0 9-7 16,-2 8 0-16,-4 4-6 16,4 4 0-16,-4 2 0 15,2 5 0-15,0-5 0 16,2 4 0-16,1-2 0 15,4-2 0-15,4-4 0 16,6-1 0-16,2-3 0 16,6-1 0-16,12-8 0 15,3-5 0-15,9-7 0 16,6-8 0-16,5-4 0 16,1-4 0-16,8-4-5 0,-5-16-31 15,18 14-31-15,-25-25-23 16,25 23-16-16,-22-25-10 15,13 18-10-15,-18-15-11 16,14 9 0-16,-19-11 14 16,4-3 43-16</inkml:trace>
        </inkml:traceGroup>
        <inkml:traceGroup>
          <inkml:annotationXML>
            <emma:emma xmlns:emma="http://www.w3.org/2003/04/emma" version="1.0">
              <emma:interpretation id="{C9706EEC-4F14-4116-AED8-1ABE8F204B13}" emma:medium="tactile" emma:mode="ink">
                <msink:context xmlns:msink="http://schemas.microsoft.com/ink/2010/main" type="inkWord" rotatedBoundingBox="31797,1654 32231,1645 32232,1701 31798,1709"/>
              </emma:interpretation>
            </emma:emma>
          </inkml:annotationXML>
          <inkml:trace contextRef="#ctx0" brushRef="#br0" timeOffset="32128.21">11070-382 476 0,'0'0'159'15,"19"-5"0"-15,-19-7-109 0,16 12-19 16,-16 0-4-16,18 0 0 16,-18 0-5-16,0 0-4 15,0 0-1-15,10 7-1 16,-10-7-2-16,0 0-7 15,-13 1-7-15,-2-1 0 16,-1 0 0-16,-6-4 0 16,-3-3 0-16,-3 1 0 15,2 2 0-15,-7 1 0 16,11 18-62-16,-19-15-40 16,24 18-22-16,-21-18-15 15</inkml:trace>
        </inkml:traceGroup>
        <inkml:traceGroup>
          <inkml:annotationXML>
            <emma:emma xmlns:emma="http://www.w3.org/2003/04/emma" version="1.0">
              <emma:interpretation id="{9A0CEA59-77E7-44C4-995A-39ADFE6BE13E}" emma:medium="tactile" emma:mode="ink">
                <msink:context xmlns:msink="http://schemas.microsoft.com/ink/2010/main" type="inkWord" rotatedBoundingBox="32368,1368 33236,1351 33260,2585 32392,2602"/>
              </emma:interpretation>
            </emma:emma>
          </inkml:annotationXML>
          <inkml:trace contextRef="#ctx0" brushRef="#br0" timeOffset="30424.329">11586-535 596 0,'0'0'135'0,"-27"-14"-1"15,27 14-115-15,-23-2-18 16,3 0-4-16,4 2-2 16,1 0-3-16,3 4-4 15,0-4-2-15,12 0-1 16,-17 0 2-16,17 0 1 15,0 0 5-15,0 0 5 16,0 0 6-16,0 0 7 16,0 0 7-16,0 0 4 15,10 0 0-15,-10 0 1 16,19-2-2-16,-19 2-1 16,24-6-1-16,-14-4-3 0,3 8 0 15,-11-9-3-15,-2 11-1 16,2-16 0-1,-2 16-12-15,-17 0 0 16,4 4 0-16,-12 11 0 0,0 7 0 16,-5 5 0-16,-3 6 0 15,5 6 0-15,1 0 0 16,-1 1 0-16,7-2 0 16,4-4 0-16,8-3 0 15,9-3 0-15,3-4 0 16,12-3 0-16,7-6 0 15,9-4 0-15,6 0 0 16,7-5 0-16,4-3 0 0,5-3 0 16,-1 2 0-16,-1-1 0 15,-1 1 0-15,-7 5 0 16,-1 1 0 0,-10 2 0-16,-6 5 0 0,-8 2 0 15,-7 4 0-15,-9 4 0 16,-3 3 0-16,-13 1 0 15,-7 1 0-15,-9 0 0 16,-7-3 0-16,-6-3 0 16,-6-1 0-16,-4-8 0 15,1-5 0-15,0-5 0 16,-4-5 0-16,11-5 0 0,3-13 0 16,6-1 0-16,5-17 0 15,21 10-6-15,-9-27-81 16,22 16-17-1,-6-26-17-15,20 13-5 16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2:27:12.204"/>
    </inkml:context>
    <inkml:brush xml:id="br0">
      <inkml:brushProperty name="width" value="0.03528" units="cm"/>
      <inkml:brushProperty name="height" value="0.03528" units="cm"/>
    </inkml:brush>
  </inkml:definitions>
  <inkml:trace contextRef="#ctx0" brushRef="#br0">1230 175 1825 0,'-7'-10'80'0,"-4"4"18"15,4 0-78-15,-7-2-20 0,7 1 0 0,-4 4 0 0,-3-3 13 0,7 0-1 0,-7 2 0 16,0-2 0-16,3 0-12 0,-7-1-10 15,1 1 2-15,-1-1 0 0,0 1 8 0,0 0 0 0,1 0 0 0,-5 0 0 16,5-2 0-16,-8 1 11 0,4 1-3 16,-1 0 0-16,-2-4 4 0,2 7 0 0,-6-4 0 15,3 4 0-15,0 0 8 0,4 0 1 0,-7 0 1 16,3-1 0-16,0 4-13 375,4 4-9-375,-7-1 12 0,3 0-12 0,-4 3 10 0,5 1-10 0,-5 3 8 0,4-1-8 16,-6 1 0-16,2 4 0 0,4-2 0 0,-3 4 0 0,3 0 0 0,0 0 0 0,4 3 0 0,-4 1 0 0,4 1 0 0,0-4 0 0,0-1 0 0,3 4 0 0,-3-1 0 0,3 1 10 15,-3-1 1-15,3 0 0 0,4 0 5 0,0 1 2 0,-4-1 0 0,4 4 0 0,7 0 1 0,-8 1 0 0,1 0 0 0,7 1 0 0,0-1 1 0,4 1 0 0,-5-3 0 0,1 1 0 16,7-1-20-16,0 5-14 0,0-1 2 0,0-4 1 0,0 0 11 0,7 0 16 0,-7 6-4 0,8-6-1 0,-5 0-11 0,4-1 0 0,0 3 0 0,7 0 0 0,-6 1 0 0,2 0 0 0,4 4 0 0,1-4 0 15,-1 2-8-15,-4-2-1 0,4-1 0 0,1-2 0 0,-1 0 9 0,4-2 14 0,-4-1-3 0,0 1-1 0,0-4-10 16,4-2 0-16,-4 6-10 0,4-3 10 0,-1-1 8 0,1 4 7 0,0-4 1 0,3 0 1 16,0-1 3-16,1 1 0 0,2-3 0 0,-6 4 0 15,10-4-3-15,-3 0 0 0,4-4 0 0,-5 5 0 16,5-5-1-16,-4 0-1 0,3 1 0 0,4 0 0 16,-7-4-15-16,10 1 0 0,-7-4 0 15,4 1 0-15,7-1 9 16,-10 3-1-16,6-3 0 0,1 4 0 15,-5-4 4-15,5 0 0 0,-4 4 0 0,3-7 0 16,-3 3-12-16,7-3 8 16,0-3-8-16,-7-1 8 15,7 4-8-15,-4-3 0 0,4 0 0 0,-3 0 0 16,3-4 8 0,0 1 0-16,-4-4 0 0,1-3 0 0,-1 3-8 0,4-3 0 0,-11 1 0 0,11-2 0 0,-7-1 37 0,-3-4 6 0,2-2 1 15,1-1 0-15,-3 3-26 0,3-3-5 0,-8 6-1 0,5-7 0 0,-8 3 7 0,4-2 1 0,-4 3 0 0,0-3 0 0,4-2-20 0,-4-1 0 0,-3-1 0 0,3 4 0 16,-3-5 20-16,3 2 0 0,-3-2 0 0,-4 2 0 0,0 3-20 0,1-4 0 0,-5 4 0 0,4-2 0 0,-7 2 0 0,1-1 0 0,-1 2 0 0,-4-2 0 15,4-2 0-15,-3 4 0 0,3 1 0 0,-4-1 0 0,-3-1 0 0,0-1 0 0,0-4 0 0,-3 4 0 16,3 1 0-16,-4 0 0 16,1 3 0-16,3-2 0 15,-4 0 0-15,-3 4 0 16,4-3 0-16,3 6 0 16,-7-3 0-16,-1 4 0 0,1-4 0 15,0 5 0-15,0-1 0 16,0-1 13-16,-4 2-4 0,4-1-1 15,0 2-8-15,-7 0 0 0,7-2 0 16,-4 4 0-16,4-2 0 0,-7 5 0 0,0 0 0 16,3-1 0-16,4 0 0 0,-7 1 0 0,0 0 0 15,3-4 0-15,-3 3 8 0,0-2-8 16,3 3 8-16,-3 1-8 0,0-6 0 0,0 4 0 0,-4-2 0 16,4 3 0-16,-7-2 11 15,-1-2-3-15,5 4-8 16,-5-4 12-16,5 4-12 0,-5-3 0 15,1 2 0-15,3 1 0 16,-3-4 8-16,3 4-8 16,-3 0 0-16,0 0 9 15,-4-2-9-15,4 1 0 16,3 4 0-16,-7 0 0 16,4-3 0-16,0 3 0 15,-8-4 0-15,5 4 0 16,-1-1 0-16,-3 4 0 15,3 0 0-15,-7 0 0 16,3 4 0-16,-6-1 0 16,10 4 0-16,-14-1 0 0,11 3 0 0,3 2 0 15,-7-1 0-15,4-1 0 0,3 4 0 0,-7-4 0 0,4 1 0 16,-1-1 0-16,5 4 0 0,-5-3 0 0,5 4 0 16,-8-5 0-16,3 1 0 0,4 3 0 0,-6-4 0 0,2 0 0 0,4 1 0 15,4 0 0-15,-4-1 0 0,4 1 0 0,0 0 8 16,0 0-8-16,3 0 0 0,-3 3 8 0,-1-4-8 0,5 5 0 15,-8-6 0-15,4 2 0 0,-1 2 0 0,5 2 0 16,-5 2 0-16,5-3 0 0,2 3 0 0,1-3 0 16,-7 4 0-16,10-6 0 0,-3 3 0 15,-4-1 0-15,8-3 0 0,-1 5 0 16,-3-1 0-16,7 2 0 0,-4 3 0 16,4-2 0-16,0-2 0 15,7 1 0-15,-7-3 0 0,0 2 0 16,7 0 0-16,-7 1 0 15,7-3 0-15,-7 3 0 0,3-4 0 16,4 4 0 0,0-3-14-16,0 2 5 0,4 4 1 15,3-7 0-15,-7 4 0 0,7 0 0 16,0-4-131-16,0 0-25 16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Group>
    <inkml:annotationXML>
      <emma:emma xmlns:emma="http://www.w3.org/2003/04/emma" version="1.0">
        <emma:interpretation id="{3698CD8C-022B-4FF6-AD75-424EE1E36347}" emma:medium="tactile" emma:mode="ink">
          <msink:context xmlns:msink="http://schemas.microsoft.com/ink/2010/main" type="writingRegion" rotatedBoundingBox="29911,12299 31044,12299 31044,14280 29911,14280"/>
        </emma:interpretation>
      </emma:emma>
    </inkml:annotationXML>
    <inkml:traceGroup>
      <inkml:annotationXML>
        <emma:emma xmlns:emma="http://www.w3.org/2003/04/emma" version="1.0">
          <emma:interpretation id="{A71319C8-F235-453A-8BD6-C51BB6786E1D}" emma:medium="tactile" emma:mode="ink">
            <msink:context xmlns:msink="http://schemas.microsoft.com/ink/2010/main" type="paragraph" rotatedBoundingBox="29911,12299 31044,12299 31044,14280 29911,1428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34E3B5E-8F47-41A4-95D1-83B6944791B2}" emma:medium="tactile" emma:mode="ink">
              <msink:context xmlns:msink="http://schemas.microsoft.com/ink/2010/main" type="line" rotatedBoundingBox="29911,12299 31044,12299 31044,14280 29911,14280"/>
            </emma:interpretation>
          </emma:emma>
        </inkml:annotationXML>
        <inkml:traceGroup>
          <inkml:annotationXML>
            <emma:emma xmlns:emma="http://www.w3.org/2003/04/emma" version="1.0">
              <emma:interpretation id="{9286882A-9754-4AA4-853B-649C1F5D4A18}" emma:medium="tactile" emma:mode="ink">
                <msink:context xmlns:msink="http://schemas.microsoft.com/ink/2010/main" type="inkWord" rotatedBoundingBox="29911,12299 31044,12299 31044,14280 29911,14280"/>
              </emma:interpretation>
            </emma:emma>
          </inkml:annotationXML>
          <inkml:trace contextRef="#ctx0" brushRef="#br0">405 0 174 0,'0'0'117'16,"0"0"-7"-16,0 0-9 15,0 0-12-15,0 0-13 0,0 0-18 16,0 0-10-16,0 26-9 16,0-26-9-16,2 45-7 15,-2-19-6-15,4 22-2 16,-4-5-5-16,5 13 5 15,-5 3-8-15,0 11 2 16,0-3-4-16,0 5 5 16,-5-2-7-16,4 8 1 15,-4-7 2-15,5 3-5 16,-1-3 4-16,0 2-3 16,-2-7 5-16,3 8-6 15,-2-14 5-15,-1 10-2 16,-2-8-3-16,0 10 4 0,-2-12-3 15,3-5 1-15,-4 1-5 16,5-7 1-16,-2-4 1 16,2-1 1-1,0-1-1-15,3-3-3 0,-1-4 7 16,1 2-5-16,0-9 4 16,0 5-1-16,0-4 3 15,0-1-5-15,0-9 5 16,0-20-5-16,0 27-1 15,0-27 1-15,0 0 2 16,0 0-4-16,0 0 1 16,0 0 1-16,0 0-1 0,0 0 2 15,0 0 0 1,2 16 0-16,-2-16 0 16,0 0 3-16,0 0-2 15,0 0-2-15,0 0 0 0,0 0 0 16,0 0 0-16,0 0 0 15,0 0 0-15,0 0 0 16,0 0 0-16,0 0 0 16,0 0 0-16,0 0 0 15,0 0 0-15,0 0 0 16,0 0 0-16,0 0 0 16,0 0 0-16,0 0 0 15,0 0 0-15,0 0 0 16,0 0 0-16,0 0 0 15,0 0 0-15,0 0 0 16,-7 4 0-16,7-4 0 16,-10-15 0-16,3-4 0 0,-3 0 0 15,-3-6 0-15,0-8 0 16,-2 4 0-16,-3-3 0 16,2-1 0-16,-1-17 0 15,3 7 0-15,-4-16 0 16,3 1 0-16,-2-11 0 15,-2-3 0-15,2 0 0 16,-1 1 0-16,0 8 0 16,0 3 0-16,1 14 0 15,-1 14 0-15,7 5 0 16,0 4 0-16,11 23 0 16,-11-27 0-16,11 27 0 15,-5-31 0-15,5 13 0 0,0 2 0 16,0 16 0-16,0-29 0 15,0 29 0-15,0 0 0 16,0-15 0-16,0 15 0 16,0 0 0-16,0 0 0 15,0 0 0-15,0 0 0 16,6 15 0-16,-6-15 0 16,17 35 0-16,-11-3 0 15,8 2 0-15,1 9 0 16,0-2 0-16,-2 10 0 15,3 0 0-15,-1 6 0 16,-1 3 0-16,-1 1 0 16,1-3 0-16,-2 1 0 0,3-12 0 15,-5 2 0-15,4-3 0 16,-2-1 0-16,1 1 0 16,-3-10 0-16,5 0 0 15,-4 2 0-15,4-7 0 16,-6-1 0-16,-1 0 0 15,2-8 0-15,-4-4 0 16,-6-18 0-16,9 21 0 16,-9-21 0-16,0 0 0 15,0 0 0-15,11 20 0 16,-11-20 0-16,0 0 0 16,0 0 0-16,13 16 0 15,-13-16 0-15,0 0 0 0,0 0 0 16,15 6 0-16,-15-6 0 15,0 0 0-15,17-14 0 16,-17 14 0 0,15-30 0-16,-3 11 0 0,-2-3 0 15,4-8 0-15,5-1 0 16,-1 0 0-16,2-1 0 16,2 0 0-16,-1-5 0 15,4-6 0-15,-1-3 0 16,2-5 0-16,-1 6 0 15,1-8 0-15,5 1 0 16,-2-8 0-16,2 4 0 0,1 1 0 16,0-3 0-16,0 3 0 15,1-1 0 1,-5 6 0-16,1-4 0 16,-5 5 0-16,-3 8 0 0,-4-3 0 15,-3 6 0-15,-2-1 0 16,-5 10 0-16,-3 0 0 15,-1 5 0-15,-1 11 0 16,-2-6 0-16,0 19 0 16,0 0 0-16,0 0 0 15,0 0 0-15,26 10 0 16,-13 2 0-16,10 15-8 16,-23-27-32-16,30 33-10 0,-30-33-16 15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6-27 15,-3-3 10-15,5 17 7 16,-5-15-6-16,4 25 4 16,-4-18-2-16,0 26 1 15,-4-10 7-15,4 32 11 16,0-12-18-16,0 16-13 16,0 3-2-16,0 17-3 15,0 10-1-15,0 12 1 0,0 6-1 16,0 15 0-16,0 4-2 15,0 5 2-15,-5 4-4 16,5 3 0-16,-3-9 3 16,-2 9-2-16,0-9-3 15,1-2 1-15,-3-10-2 16,4 4 1-16,-9-5 2 16,5 1-3-16,-1 2 0 15,4-3 2-15,-6-3-4 16,5-4 3-16,-1 1-2 15,2 2-2-15,2-9 1 16,0-2 1-16,1-8-1 0,1-1 1 16,-2-5 0-16,0-10-2 15,2-12 2-15,-1-8 0 16,-3-7-3-16,3-22 3 16,-2-8-2-16,0-14 1 15,2-10 0-15,1-19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15,-6-20 0-15,6 20 0 16,-10-26 0-16,10 26 0 16,-10-33 0-16,5 11 0 15,1-4 0-15,-3-7 0 16,2-3 0-16,-4-2 0 0,3-5 0 16,-1-5 0-16,-2-2 0 15,1-6 0 1,1-2 0-16,2-2 0 15,-2-8 0-15,0-3 0 0,2-4 0 16,4 1 0-16,-3-6 0 16,4 6 0-16,0-1 0 15,-2-3 0-15,1 10 0 16,-3 9 0-16,-2-2 0 16,3 8 0-16,-2 10 0 15,-4-1 0-15,3 6 0 16,0 6 0-16,-1 6 0 15,2-1 0-15,1 12 0 16,4 15 0-16,-9-23 0 16,9 23 0-16,0 0 0 15,0 0 0-15,0 0 0 16,0 0 0-16,0 0 0 0,0 0 0 16,-11 15 0-16,11-15 0 15,-10 32 0-15,4-5 0 16,1 8 0-16,-1 1 0 15,2 16 0-15,1 6 0 16,3 5 0-16,0 7 0 16,0 4 0-16,5 9 0 15,0-3 0-15,-1-3 0 16,0 0 0-16,2-3 0 16,-5-1 0-16,2-2 0 15,-2-6 0-15,1 10 0 16,3-10 0-16,2 1 0 15,4-5 0-15,-7-7 0 0,3 5 0 16,3-10 0-16,-3-8 0 16,-2 1 0-16,-1-10 0 15,1 2 0-15,-4-6 0 16,3-3 0-16,-1-5 0 16,-2-1 0-16,3-2 0 15,-4-17 0-15,3 25 0 16,-3-25 0-16,0 0 0 15,0 0 0-15,0 0 0 16,0 0 0-16,0 0 0 16,0 0 0-16,0 0 0 15,0 0 0-15,17 7 0 16,-17-7 0-16,0 0 0 0,19-19 0 16,-19 19 0-16,20-27 0 15,-6 11 0-15,-4-10 0 16,2 0 0-16,3-13 0 15,1-2 0-15,-1-12 0 16,4-1 0-16,-3-13 0 16,1-5 0-16,2-4 0 15,1-9 0-15,-3-3 0 16,3 0 0-16,1-7 0 16,3-13 0-16,-1-9 0 15,1-3 0-15,-2-16 0 16,1 0 0-16,-2 5 0 15,1-1 0-15,-4 7 0 0,-1 6 0 16,-2 17 0-16,-3 10 0 16,1 17 0-16,-3 9 0 15,1 8 0 1,4 5 0-16,-1 12 0 0,2 5 0 16,4-1 0-16,-4 15 0 15,-1-5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32-40-16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37 658 0,'0'-12'174'0,"-7"-1"-13"15,1 1-165-15,6 12-26 16,0 0-102-16,0 15-36 15,0-2-10-15,0-1-14 16,-3 3-15-16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9.46118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23-02-22T20:03:17.516"/>
    </inkml:context>
    <inkml:brush xml:id="br0">
      <inkml:brushProperty name="width" value="0.02646" units="cm"/>
      <inkml:brushProperty name="height" value="0.02646" units="cm"/>
    </inkml:brush>
  </inkml:definitions>
  <inkml:traceGroup>
    <inkml:annotationXML>
      <emma:emma xmlns:emma="http://www.w3.org/2003/04/emma" version="1.0">
        <emma:interpretation id="{31886FBE-9C0E-45E2-92C0-3548685624CE}" emma:medium="tactile" emma:mode="ink">
          <msink:context xmlns:msink="http://schemas.microsoft.com/ink/2010/main" type="inkDrawing" rotatedBoundingBox="24540,96062 30578,96301 30505,98132 24467,97894" semanticType="callout" shapeName="Other"/>
        </emma:interpretation>
      </emma:emma>
    </inkml:annotationXML>
    <inkml:trace contextRef="#ctx0" brushRef="#br0">5913 885 182 0,'0'0'139'0,"-57"-207"-4"15,23 108-127-15,-6-4-12 16,4 11 3-16,-10-7 2 16,-1 15 3-16,-6 11-1 15,-4 20 2-15,2 10-1 16,-4 13 1-16,3 28 0 0,-8 2 0 15,5 0 2-15,-6 16-3 16,4 39 3 0,-1 9-1-16,-3 32 4 15,6 10-3-15,-2 40 2 0,-1 11 0 16,2 39-2-16,7 0 2 16,7 37-4-16,-1 0 5 15,13 16 0-15,2 8 2 16,11 11 2-16,6 15-3 15,8 18 3-15,2-2-1 16,5 21 3-16,5-16-5 16,9 20-2-16,2-41-1 15,2-7-4-15,12-14 3 16,-1-16-4-16,6-31-2 16,2-24 0-16,-1-17 1 15,3-36 0-15,-1-1 0 16,-2-27 2-16,0-22-2 0,0-12 3 15,-3-32-1-15,-3-9 1 16,4-20-1-16,-3-15 1 16,-6 0 0-16,5-15-1 15,-8-20 0-15,0-4 1 16,-22 39-2-16,21-76-1 16,-21 76-1-16,5-75 1 15,-5 75 0-15,-12-59-2 16,12 59 2-16,-17-50-1 15,17 50-1-15,-17-19 0 16,17 19-1-16,0 0 0 16,0 0 0-16,0 0 0 15,0 0 0-15,0 0 2 0,0 0 0 16,0 0 1-16,0 0 1 16,0 0 0-16,0 0 2 15,0 0-1-15,0 0 0 16,0 0-2-16,0 0 2 15,0 0-1-15,0 0-1 16,0 0 0-16,0 0 0 16,-3-52 0-16,3 52 0 15,0 0 1-15,0 0 0 16,0 0 1-16,-17-38 0 16,17 38 1-16,0 0-1 15,0 0 1-15,-15-47-2 16,15 47-1-16,0 0 1 0,0 0-1 15,-19-29 0-15,19 29-1 16,0 0 2-16,-13-45-1 16,13 45 0-16,0 0 2 15,-20-48-1-15,20 48 1 16,0 0 0-16,0 0-2 16,-16-16 1-16,16 16 0 15,0 0 0-15,0 0-1 16,-16-18-1-16,16 18 2 15,0 0-2-15,-15-31 1 16,15 31 0-16,0 0 0 16,-21-32 0-16,21 32 0 15,-13 0-2-15,13 0 1 0,0 0 0 16,-18 32 0-16,18-32-1 16,0 0 0-16,0 0 3 15,-16 41-2-15,16-41 2 16,0 0-1-16,-18 0 0 15,18 0 0-15,0 0 1 16,-17 0 0-16,17 0-2 16,-17 0 0-16,17 0 1 15,-13 0-2-15,13 0 2 16,-17 0 0-16,17 0-1 16,-20-10 0-16,20 10 2 15,-14-49-1-15,14 49 0 0,-20-61 0 16,20 61 1-1,0 0-1-15,-15-60-1 0,15 60 0 16,0 0 0 0,-16-25-1-16,16 25 2 0,-14-21-3 15,14 21 2-15,-20-25-1 16,20 25 1-16,-23-44 0 16,23 44 1-16,-25-44 0 15,25 44-1-15,-21-31 1 16,21 31-1-16,-27-30-1 15,13 25 1-15,14 5 0 16,-27-23-1-16,12 18 1 16,15 5 0-16,-30-41-1 0,19 14 1 15,-5 17 0-15,0-22 0 16,3 12-1 0,-5-16 1-16,2 7 0 15,-7 4-1-15,0 8 2 0,-2-5-1 16,-2-4-1-16,-4 15 0 15,-2-6 1-15,-4 2-1 16,0-2 0-16,-2-15 0 16,-6 16-2-16,6-19 3 15,-4 3-1-15,-5-1 0 16,-2 8 0-16,1 1 0 16,-3 14 1-16,-2-9 0 15,-3 10-1-15,0 3 0 16,-7-2-1-16,2 8 2 15,1-15 1-15,-5 12-1 16,-3-7-1-16,0-4 0 16,0 3 0-16,0-5-4 0,-3-15 6 15,8 14-5-15,-2-14 3 16,8-2-5-16,-5 11 8 16,7-1-5-16,-1 6 5 15,1-15-3-15,-2 12 0 16,1 4 0-16,-8-9 0 15,3-5 0-15,-6-1 1 16,4 14-3-16,-6-8 2 16,7 2 0-16,2 6 0 15,-2 0 1-15,5 7 0 16,2-3-1-16,2-10 0 16,-1 16 0-16,-2-3 1 15,-2-15-1-15,-3 9 1 0,-6-5-1 16,1-9 0-16,-5 9 0 15,3-3 0-15,-1-3 1 16,3-4-1-16,-4 2 0 16,7-5 0-16,1 2 0 15,0-27-1-15,-2 21 2 16,4-14-2-16,-1-3 2 16,-5 13-2-16,2-14 2 15,3 2-3-15,4 25 2 16,2-27 1-16,9 30-1 15,1 2 0-15,9 2 1 16,7-6-1-16,4-3 1 16,6 23-1-16,3-9 1 0,-2 9-1 15,6-1 0-15,13 9-1 16,-27-27 1-16,15 14 0 16,-5 13 0-16,17 0 0 15,-29 0 0-15,29 0 0 16,-24 0 1-16,24 0 1 15,-13 0-2-15,13 0 1 16,0 0-1-16,0 0 1 16,0 0 1-16,0 0-1 15,-18-6-1-15,18 6 1 16,0 0-1-16,0 0 1 16,-15-37 0-16,15 37-1 0,0 0-1 15,-16-9 1-15,16 9 1 16,0 0 0-16,0 0 0 15,0 0-1 1,0 0 0-16,-14 0 1 0,14 0 0 16,0 0-2-16,0 0 1 15,0 0-1-15,8 28 1 16,-8-28 0-16,14 64 0 16,-14-64 0-16,17 85-1 15,-5-36 2-15,2 12-1 16,2 23 1-16,0 5-1 15,4 17 1-15,1 3-1 16,-1 15 2-16,2-19-3 0,3 20 0 16,-1-17 4-1,1 2-4-15,-4-17 4 16,0-14-5-16,-1-3 6 16,-1-31-6-16,-6 18 6 0,-13-63-3 15,23 67-1-15,-23-67 0 16,0 0 0-16,14 51 1 15,-14-51-1-15,0 0 0 16,0 0 1-16,0 0-1 16,0 0 1-16,0 0 1 15,0 0-2-15,0-51 0 16,0 51 1-16,-9-92 1 16,1 41-6-16,-2-7 5 0,-1-4-4 15,4-5 4-15,-6-3-4 16,1-11 5-1,-2-7-4-15,0-17 1 16,2 3 2-16,-4-14-1 0,3 0 1 16,-4-8-2-16,1 4 2 15,0-11-3-15,-2 9 3 16,-1 3-1-16,-3 21 0 16,4-6 0-16,-5 16 0 15,7 14 0-15,-1 12 0 16,1 18 0-16,16 44 0 15,-23-67-1-15,23 67 2 16,0 0-1-16,-15-39 0 0,15 39 0 16,0 0 0-1,0 0-1-15,0 0 2 16,0 0-2-16,12 0 1 16,3 0 0-16,4 0 0 0,5 0 0 15,3 0 1-15,8 0-1 16,2 0 0-16,9-14 0 15,4-8 1-15,6-17 0 16,-2-4-1-16,3 1 0 16,1-7 1-16,1-8-1 15,-5 8 2-15,-6 4-3 16,-9 10 2-16,-5-7-1 16,-14 23 0-16,-5-10 0 15,-15 29-1-15,18 0-4 16,-18 0-5-16,0 0-10 15,3 48-31-15,-9-31-81 16,6-17-37-16,0 87-18 0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1:40:35.300"/>
    </inkml:context>
    <inkml:brush xml:id="br0">
      <inkml:brushProperty name="width" value="0.03528" units="cm"/>
      <inkml:brushProperty name="height" value="0.03528" units="cm"/>
    </inkml:brush>
  </inkml:definitions>
  <inkml:traceGroup>
    <inkml:annotationXML>
      <emma:emma xmlns:emma="http://www.w3.org/2003/04/emma" version="1.0">
        <emma:interpretation id="{7231512C-F484-4978-BBA1-64D388B3DD79}" emma:medium="tactile" emma:mode="ink">
          <msink:context xmlns:msink="http://schemas.microsoft.com/ink/2010/main" type="inkDrawing" rotatedBoundingBox="27143,92288 32770,86760 33899,87909 28272,93438" semanticType="callout" shapeName="Other">
            <msink:sourceLink direction="from" ref="{B6984FD1-B815-43EE-9ADE-D8441A837D89}"/>
            <msink:sourceLink direction="to" ref="{76CA3051-CA80-4248-8A13-00C3CC0BF198}"/>
          </msink:context>
        </emma:interpretation>
      </emma:emma>
    </inkml:annotationXML>
    <inkml:trace contextRef="#ctx0" brushRef="#br0">0 6448 1743 0,'0'0'49'0,"0"0"11"16,0 0-48-16,0 0-12 0,0 0 0 0,0 0 0 0,0 0 19 0,0 0 1 15,0 0 0-15,0 0 0 0,0 0-7 0,0 0-1 0,17-8 0 0,-1-2 0 32,0 2 0-32,10-2 0 0,-10 2 0 0,18-1 0 0,-27 0 16 0,10-8 2 0,0 7 1 0,7-7 0 15,-7 8-2-15,9-9 0 0,-2 0 0 0,9 0 0 16,-16-9 6-16,0 1 1 0,7-1 0 0,2 2 0 15,-2-3-10-15,10-7-2 0,-10 9 0 0,10-1 0 16,-9-10-6-16,26 2-2 16,-26-9 0-16,16-2 0 0,1 2 0 15,-1-1 0-15,9 10 0 0,0-11 0 16,-1 2 10 0,1-8 2-16,8-1 0 15,1 0 0-15,-9 8-20 16,-1-9-8-16,1 0 8 0,8 1-8 15,-8 9 14-15,0-9-2 0,0 7-1 0,-9-7 0 16,9 1 1-16,0 8 1 0,1-9 0 16,-10 0 0-16,9-11-13 0,1 10 9 0,7 1-9 15,-8-9 8-15,8 9 20 0,-1-1 3 16,-7 1 1-16,8 9 0 0,-8-10-32 0,8 1 0 16,1 8 0-16,-1-8 0 0,-8 0 16 0,-9-10-4 15,9 10 0-15,-9-1 0 0,2 2-12 16,6 8 8-16,1 8-8 0,-8-8 0 0,7 0 9 15,-7-1-9-15,8-10 8 0,-9 1-8 16,9 19 9-16,1-9-9 16,-2-1 10-16,-7 10-10 15,8-9 8-15,-9-1-8 16,0 1 0-16,9-1 9 16,-9 10-9-16,2-10 8 15,-2 10-8-15,0-2 8 0,-8 2-8 16,10-1 0-16,-11-8 0 0,1 0 8 15,1 0-8-15,-1-9 0 0,-8-1 0 0,8 1 0 16,0 0 8-16,1-10 4 0,7 0 0 16,1 0 0-16,-1 2-12 0,9-2-17 0,0 11 4 0,1-2 1 0,-2 0 12 15,-6 1 0-15,-2 0 0 0,9 0 0 0,-9 8 23 0,1-8 7 0,7 8 2 0,-7 1 0 16,0-9-32-16,-9 9 0 0,0-1 0 0,9-8 0 0,-9 0 0 0,0-10-15 16,-8 9 2-16,8-9 0 0,0 1 13 15,1 9 13-15,-1-9-2 0,1 10-1 0,-1-2-10 16,-1 0 0-16,-6 1 9 0,-2 0-9 15,10 8 0-15,-9 10-8 0,0-10 0 0,-1 9 0 0,2 0 8 0,-2 0 0 0,2 1 8 16,-11 10-8-16,2 7 8 0,1-17-8 0,-2 17 8 0,-7 0-8 0,-1-1 0 0,-8 19 0 16,17-17 0-16,-17 17 0 0,9-18 0 0,-9 18 0 0,7-18 0 0,-7 18 0 0,0 0 0 0,0 0 0 0,0 0 0 0,9-18 0 0,-9 18 11 0,0 0-3 0,0 0 0 0,8-17 0 0,-8 17-8 15,0 0 0-15,0 0 0 0,0 0 0 0,0 0 0 0,8-18-11 0,-8 18 3 0,0 0 0 0,9-18 8 0,-9 18 0 0,0 0 0 0,8-17 0 0,-8 17 0 0,9-11 0 0,-2 3 0 16,-7 8 0-16,0 0 0 0,0 0 0 0,9-18 0 0,-9 18 0 0,8-18 0 0,-8 18-8 0,9-17 8 0,-1-1-8 16,-8 18 8-1,9-18 0-15,-9 18 8 0,7-9-8 0,-7-10 0 16,9 1 0-16,-9 18 0 0,8-8 0 0,1-10 0 0,-1 9 8 15,1-9 0-15,-9 18 0 0,7-18-8 16,-7 18 0-16,0 0 8 0,8-8-8 0,1-10 0 16,-1 9 0-16,1-8 0 0,-9 17 0 15,8-8 0-15,-8 8-13 0,8-18 1 16,-8 18 1-16,8-18 11 0,-8 18 0 16,9-9 0-16,-1 1 0 0,1-10 0 0,-1 0 0 15,-8 9 0-15,0 9 0 0,0 0 0 16,0 0 0-16,0 0 0 0,16-9 0 0,-7-9 0 0,-9 18 11 0,8-10-3 0,0-8 0 15,-8 18-8-15,9-8 0 0,-9 8 9 0,0-9-9 0,8 0 0 0,0-8 0 0,0-1 0 0,-8 18 0 16,0 0 0-16,0 0 0 0,0 0 0 0,0 0 0 16,0 0 0-16,0 0 0 0,9-18 0 0,-9 18 0 15,0 0 0-15,0-18 0 0,0 18 0 0,0 0 0 16,0 0 0-16,0 0-13 0,0 0 1 0,0 0 1 16,0 0 11-16,0 0 0 0,0 0 0 0,0 0 0 15,0 0 0-15,0 0 0 0,0 0 0 0,0 0 8 16,0 0-8-16,0 0 0 0,0 0 0 0,0 0 0 15,0 0 0-15,0 0 0 0,0 0 0 0,0 0 8 16,0 0-8-16,0 0 11 0,0 0-11 0,0 0 12 16,0 0-12-16,0 0 0 0,0 0 0 0,0 0 0 0,0 0 0 15,0 0 0-15,0 0 0 0,-9 18 0 0,9-18 0 16,0 0 8-16,-16 0-8 0,-1 0 8 0,1 8-8 16,7 2 0-16,-7-2 0 0,-1 2 0 15,0-10 0-15,1-10 0 0,-9 10 0 0,1 0 0 16,7 0 0-16,-9 10 0 0,2 7 0 0,7-8 0 15,-8 0 0-15,0-1 0 0,1 2 0 0,-2 8 0 16,2 0 0-16,6-9 0 0,-8 8 0 16,11 1 0-16,-11 0 0 0,2 0 0 15,7-1 0-15,-8 1 0 0,0-1 0 0,8 10 0 16,-7 17 0-16,7-27 0 0,0 1 0 0,1 9 0 0,-1-8 0 16,0-11 0-16,1 10 0 0,8 0 0 0,-1 0 0 0,1-9 0 0,-1 9 0 0,9-18 0 15,0 0 0-15,0 0 0 0,0 0 0 0,0 0 0 0,0 0 0 0,0 0 0 16,0 0 0-16,0 0 0 0,0 0 0 0,0 0 0 15,0 0 0-15,17-10 0 0,-8 2 0 0,-1-1 0 16,8 0 0 0,9 0 0-16,0 1 0 0,0-2 0 15,0-8 0-15,0 10 0 16,0-11 0-16,8 2 0 16,-8-1 0-1,0 0 0-15,-1 9 0 16,11-17 0-16,-10 8 0 15,0 8 0-15,8-7 0 16,1 0 0-16,-10-1 0 16,9 1 0-16,-7-9 0 15,-2 8 0-15,10 0 0 16,-10 9 0 0,2 0 0-16,7-9 0 0,-8 0 0 15,-1 0 0-15,-7 0 0 0,0 1 0 0,8-1 0 16,-8 8 0-16,-9 2 0 0,8-1 0 15,-8 0 0-15,9 0 0 0,-17 9 0 0,0 0 0 16,0 0 0-16,0 0 0 0,9 9 0 0,-1 9 0 0,-8-18 0 16,8 8 0-16,0 10 0 0,-8-8 0 15,9 7 0-15,-9 1 0 0,0 8 0 0,0 2 0 16,0-2 0-16,-9 2 0 16,9 7 0-16,-8 8 0 15,0-8 0-15,8 1 0 0,0 9 0 16,0-9 0-16,-8 8 0 0,-9 1 0 15,8 9 0 1,1-10 0-16,0 1 0 16,0-1 0-16,0-8 0 0,-1 9 8 15,1 7-8-15,-9 1 0 0,9-8 9 0,0 9-9 0,-9-1 0 16,8 1 9-16,-7-1-9 16,8 0 0-16,-9 10 8 0,9-10-8 15,-1-1 0-15,2 1 0 16,-2-8 8-16,1-1-8 0,-1 2 0 15,1-11 0-15,-1 2 8 16,9-11-8-16,-8 1 0 16,8-9 0-16,0 8 0 15,0 1 0-15,0-1 0 0,0 11 0 16,0-10 0-16,8-1 0 16,1-10 0-16,8 12 0 0,0 7 0 15,-1 0 0-15,0 9 0 16,1 1 0-16,-1 9 0 15,10 0 0-15,-10 7-8 16</inkml:trace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1:41:14.020"/>
    </inkml:context>
    <inkml:brush xml:id="br0">
      <inkml:brushProperty name="width" value="0.03528" units="cm"/>
      <inkml:brushProperty name="height" value="0.03528" units="cm"/>
    </inkml:brush>
  </inkml:definitions>
  <inkml:traceGroup>
    <inkml:annotationXML>
      <emma:emma xmlns:emma="http://www.w3.org/2003/04/emma" version="1.0">
        <emma:interpretation id="{0B6E9A9F-ABB3-4C22-917D-7099DD9FD1E1}" emma:medium="tactile" emma:mode="ink">
          <msink:context xmlns:msink="http://schemas.microsoft.com/ink/2010/main" type="writingRegion" rotatedBoundingBox="32940,99992 30876,100120 30803,98954 32868,98826"/>
        </emma:interpretation>
      </emma:emma>
    </inkml:annotationXML>
    <inkml:traceGroup>
      <inkml:annotationXML>
        <emma:emma xmlns:emma="http://www.w3.org/2003/04/emma" version="1.0">
          <emma:interpretation id="{0EB49C3B-0A59-4276-831A-190DAFE0656E}" emma:medium="tactile" emma:mode="ink">
            <msink:context xmlns:msink="http://schemas.microsoft.com/ink/2010/main" type="paragraph" rotatedBoundingBox="32940,99992 30876,100120 30803,98954 32868,9882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D8D74199-55C7-48EC-8F9C-265C4086095F}" emma:medium="tactile" emma:mode="ink">
              <msink:context xmlns:msink="http://schemas.microsoft.com/ink/2010/main" type="line" rotatedBoundingBox="32940,99992 30876,100120 30803,98954 32868,98826"/>
            </emma:interpretation>
          </emma:emma>
        </inkml:annotationXML>
        <inkml:traceGroup>
          <inkml:annotationXML>
            <emma:emma xmlns:emma="http://www.w3.org/2003/04/emma" version="1.0">
              <emma:interpretation id="{F85123E8-585F-412D-873F-4159D503C054}" emma:medium="tactile" emma:mode="ink">
                <msink:context xmlns:msink="http://schemas.microsoft.com/ink/2010/main" type="inkWord" rotatedBoundingBox="32940,99992 30876,100120 30803,98954 32868,98826"/>
              </emma:interpretation>
              <emma:one-of disjunction-type="recognition" id="oneOf0">
                <emma:interpretation id="interp0" emma:lang="" emma:confidence="1">
                  <emma:literal>.</emma:literal>
                </emma:interpretation>
                <emma:interpretation id="interp1" emma:lang="" emma:confidence="0">
                  <emma:literal>'</emma:literal>
                </emma:interpretation>
                <emma:interpretation id="interp2" emma:lang="" emma:confidence="0">
                  <emma:literal>-</emma:literal>
                </emma:interpretation>
                <emma:interpretation id="interp3" emma:lang="" emma:confidence="0">
                  <emma:literal>•</emma:literal>
                </emma:interpretation>
                <emma:interpretation id="interp4" emma:lang="" emma:confidence="0">
                  <emma:literal>:</emma:literal>
                </emma:interpretation>
              </emma:one-of>
            </emma:emma>
          </inkml:annotationXML>
          <inkml:trace contextRef="#ctx0" brushRef="#br0">29 1028 1698 0,'0'-3'48'0,"0"-5"11"0,0 8-47 0,0 0-12 0,0 0 0 0,0 0 0 15,0 0 36-15,0 0 6 0,0 0 1 0,0 0 0 16,0 0-24-16,0 0-5 0,0 0-1 0,0 0 0 16,0 0 7-16,0 0 2 0,0 0 0 0,0 0 0 15,0 0 13-15,0 0 2 0,0 0 1 0,0 8 0 16,-7-5-21-16,-1 3-4 0,1-2-1 0,1 2 0 15,-1 0-3-15,0 3-1 0,-4-2 0 0,4 2 0 16,-7 1 1-16,4 0 0 0,-4-4 0 0,7 3 0 16,-10 1 15-16,2-1 2 0,1 1 1 0,0-1 0 15,-7 1-6-15,4-3-1 16,3 2 0-16,-7 1 0 16,4 0-6-16,3-1-2 15,-4 0 0-15,4 5 0 16,-6-5 16-16,0 1 4 15,2-1 0-15,-2 0 0 16,2 1-24 0,-3 0-8-16,-1 0 0 15,5-1 0-15,-7 3 24 16,10-2-2-16,-11 0 0 16,8 1 0-16,-1-2 14 15,-6 0 4-15,3 4 0 16,7-4 0-16,-11 1-16 0,5-1-4 15,3 1 0-15,2 0 0 16,-5-1-6-16,1 0-2 0,-2-2 0 0,4-1 0 16,0 0 23-16,-1 0 4 0,-6 1 1 0,10-3 0 0,-7-1-20 15,1 0-4-15,2-3-1 0,-3 4 0 0,4-4-7 0,3 3 0 16,7 0-8-16,-11-3 12 0,5 0 16 0,6 0 4 0,-11 0 0 0,3-3 0 16,8 3-32-16,-6-3 0 0,-2-1 0 0,5 1 0 15,-1 0 0-15,0-1 0 0,5 0 8 0,-1-2-8 0,-3 0 0 16,-1 3 0-16,0-3 0 0,4-4 0 0,-6 4 0 15,3-3 0-15,-1-1 0 0,0 0 0 0,-3 1 8 16,5-1-8-16,-6 4 0 16,1-3 9-16,0-1-1 15,-6 1-8-15,2-2 12 16,-1 1-4-16,3 1 5 16,-2-1 1-16,-3 1 0 0,4 0 0 0,3-1-6 0,-7 0-8 15,4 0 11-15,3 1-11 0,-4 3 8 0,4 0-8 16,-6-1 0-16,2-2 0 0,4 3 0 15,0-5 0-15,-3 2 0 0,3 3 0 16,-2-4 10-16,0 3-10 0,2 1 8 0,-1 0-8 0,-6-4 0 0,4 3 0 0,4 1 0 0,-8-1 0 16,4 1 0-16,3 0 0 0,-7-3 0 0,4 2 0 0,3 1 0 0,-4 3 0 0,4-3 0 15,1 3 0-15,6-5 0 0,-11 2 0 0,11-3 0 0,0 2 0 0,-7 1 0 16,7 3 0-16,-4-3 0 0,4 3 0 0,4 0 0 16,-1-4 0-16,-3 1 0 0,7 6 0 0,0-4 0 0,0 4 0 0,0 0 0 0,0 0 0 0,0 0 0 0,0 0 0 0,0 0 0 0,0 0 0 0,0 0 0 0,0 0 0 0,0 0 0 15,0 0-11-15,0 0 11 0,0 0 0 0,0 0 0 0,0 0 0 0,0 0 0 0,0 0 0 0,0 0 0 0,0 0 0 0,0 0 0 0,0 0 0 0,0 0 0 0,0 0 0 0,0 0 0 0,0 0 0 0,0 0 0 0,0 0 8 0,0 0-8 0,0 0 0 0,0 0-8 0,0 0 8 0,0 0 0 0,0 0 0 0,0 0 0 0,0 0 0 16,0 0 0-16,0 0 0 0,0 0 0 0,0 0 0 15,0 0 0-15,0 0 0 0,0 0 0 0,0 0-8 16,0 0 8-16,0 0 0 0,0 0 10 0,0 0-10 16,0 0 0-16,0 0 0 0,0 0 0 0,0 0 0 15,0 0 0-15,0 0 0 0,0 0 0 0,0 0 0 16,0 0 0-16,0 0 0 0,0 0 0 0,0 0 9 16,0 0-9-16,0 0 0 0,0 0 0 0,0 0-11 15,0 0 11-15,0 0 0 0,0 0 0 0,0 0 0 16,0 0 0-16,0 0 0 0,0 0 0 0,0 0 0 15,0 0 0-15,0 0 0 0,0 0 0 0,0 0 0 16,0 0 0-16,0 0 0 0,0 0 9 0,0 0-9 16,0 4 0-16,7 2 0 0,-7 1 0 0,7-1 0 15,-3 0 0-15,3 0 0 16,-4 1 0-16,8 2 0 16,-5-3 0-16,-6 5 0 15,8-5 0-15,-1 3-12 16,0 1 12-16,0-1 0 15,4-3 0-15,-4 4 0 16,0-1 0-16,-1 1 0 16,-2 3 0-16,3 0 0 15,0-3 0-15,0-1 10 16,0 0-10-16,0 2 8 16,0-2-8-16,3 4 0 15,-3-1 0-15,0 4-11 16,7 0 11-1,-7 0 0-15,0 6 8 0,0-1-8 16,0-3 0-16,0 1 0 16,3 0 0-16,-3 1-8 15,-1-5 8-15,1 1 0 16,-7-1 0-16,4 3 0 16,0-5 0-1,-1 2 0-15,1 1 0 16,-2-3 0-16,2 0 0 15,-1-1 0-15,-3-2 8 16,7-1-8-16,-7 0 0 16,0-1 0-16,7-2-10 15,-7 0 10-15,0-6 0 0,0 6 0 0,0-6 0 16,0 4 0-16,0-4 0 0,8 6 0 0,-8-6 0 0,0 0 0 0,0 0 0 16,0 0 0-16,0 0 0 0,0 0 0 0,0 0 0 0,0 0 0 0,0 0 0 0,0 0 0 0,0 0 0 15,0 0 0-15,0 0 0 0,0 0 0 0,0 0 0 0,-8-10 9 0,8 1-9 16,0 3 12-16,-7-5-12 0,7-1 0 15,-7 3 0 1,4-4 0-16,-1 1 8 0,-2-2-8 16,3 2 0-16,-5-4 8 15,1 3-8-15,1-3-14 16,6-4 3-16,-7 4 1 16,-3-5 18-16,3-2 3 0,4 1 1 15,-4 0 0-15,3-1-12 0,-3 3 0 0,7 8 0 16,-7-7 0-16,0-1-8 0,0 5-4 0,3-4-1 0,-3-1 0 15,0 5 13-15,1-2 16 0,-1-2-3 0,0 6-1 16,7-3-12-16,-11 1 0 0,4 2 0 0,0-3 0 0,4 3 0 16,-1-3 0-16,-2 1 0 0,-1 2 0 0,7-4 0 15,-7 4 0-15,0 4 0 0,3-4 0 0,1 7 0 0,-1-3 0 16,4 1 0-16,0 8 0 0,0 0 0 0,0 0 0 0,0 0 0 0,0 0 0 0,-3-6 0 0,3 6 0 0,0 0 0 0,0 0 0 0,0 0 0 0,0 0 0 0,0 0 0 16,0 0 0-16,0 0 0 0,0 0 0 0,0 0 0 0,0 0 0 0,0 0 0 0,0 0 0 0,0 0 0 0,0 0 0 0,3-3 0 0,1 0 0 0,3 3 0 0,7-3 0 0,-7 3 0 15,3 3-15-15,0-3 3 0,8 3 1 0,-4-3 11 16,-4 3 0-16,4 0 0 0,7-3 0 0,-7 3 8 0,3 2 3 15,3-2 1-15,-2-3 0 0,2-3-12 0,-2 3-17 0,3-8 4 0,1 5 1 0,-1 0 12 16,3-3 15-16,0 3-3 0,4 0-1 0,-7-4-11 0,4 1 0 16,-5 0 0-16,5 0 0 0,-7 2 0 0,9 1-14 0,-6-3 2 15,-1 3 0-15,6-1 12 0,-12 1 13 16,10 0-2-16,-10-1-1 0,8 1-10 16,-6 0-14-16,5-4 3 15,-3 4 1-15,2-3 10 0,-2-1 0 16,3-2 0-16,-4 3 0 15,1-1 0-15,6 0 14 16,-10 4-3-16,12-3-1 16,-12 3-10-16,-1 0-14 15,5-1 3 1,-4 1 1-16,-7 3 18 16,6-3 3-16,-6 0 1 15,4 3 0-15,-4 0-12 16,0 0-17-16,-4 0 4 0,-3 0 1 0,0 0 12 0,0 0 0 0,0 0 0 15,0 0 0-15,0 0 0 0,0 0 0 0,0 0 0 0,-3 3 0 0,-4 0 0 0,0 0 15 16,-4 1-3-16,4-1-1 0,-3 0-11 0,7 3-16 16,-11 4 4-16,7-3 1 0,-4-1 11 15,0 3 0-15,2-2 0 0,2-1 0 0,0 4 0 0,-12-4 16 0,8 1-4 16,1 3-1-16,-4-4-11 0,-3 4-17 0,3-1 4 0,0 0 1 0,-3 1 12 16,-1-1 13-16,0 2-2 0,5-2-1 0,-5 0-10 0,-3-2-12 0,4 2 2 15,-4-3 1-15,-4-3 9 0,5 4 0 0,-6-1 0 0,6 1 0 0,-8-3 8 16,4 2 3-16,-8 1 1 0,5-4 0 15,-2 3-12-15,6 0 0 0,-6-3 0 16,5 0 0-16,-4 4 0 0,2-4 0 16,-1 3 0-16,2-3 0 0,1 0 0 15,-6 1 0-15,2 0 0 16,3-1 0-16,5 0-12 0,-8 0 1 0,4 0 1 16,3 0 0-16,0 0 10 0,3 0 16 15,-3 1-4-15,3-1-1 0,5 0-11 0,-5-3 0 0,7 3 0 0,1-3 0 0,-4 0 0 0,8 3 0 16,-5-3 0-16,4 0 0 0,7 0 0 0,-7 0 0 0,7 0 0 0,0 0 0 0,0 0 0 0,0 0 0 0,0 0 0 0,0 0 0 0,0 0-11 0,0 0-1 0,0 0 0 0,0 0 0 0,0 0 12 0,0 0 16 0,0 0-4 0,0 0-1 0,0 0-11 0,0 0 0 0,3 0 0 0,4 3 0 0,0-3 0 0,7 0 0 0,-7-3 0 15,7 3 0-15,-4-3 0 0,5 0 0 0,5 0 0 0,-6-4 0 0,11 4 0 0,-7 0 0 0,3 0 0 0,0-3 0 0,3 3 0 0,4-4-11 0,-8 0 1 16,5-2 0-16,-4 3 18 0,3-4 3 0,-3 1 1 0,2-1 0 0,2 1-12 16,2-2-17-16,-4-2 4 0,1 1 1 15,0-1 12-15,5 1 12 16,-6-2-3-16,6 2 0 0,-5-1-9 16,4 4 0-16,-8 3 9 15,5-4-9-15,-7 4 0 0,2-1-15 0,2 1 3 16,-8-1 0-16,3 4 12 0,-3-4 16 15,-7 1-3-15,4 3-1 0,-4-1-12 16,0 1 0-16,-7 3 0 0,0 0 0 0,0 0 0 0,0 0 0 0,0 0 0 0,0 0 0 0,0 0-14 0,0 0 4 0,0 0 1 0,0 0 0 16,0 0 9-16,-7 0 14 0,0 0-3 0,-4 0-1 0,4 3-10 15,-7 1 0 1,1 2 0-16,-1-3 0 0,3 0 0 16,-8-3 0-16,3-3 0 15,5 0 8-15,-10 3-8 16,3 3 0-16,5 4 0 15,-8-4 0-15,3 0 0 16,-2 4 0-16,-2 0 0 16,5-1 0-16,-7 0-15 15,3 1 5-15,0-1 1 16,0 0 0-16,2 0 9 16,-8-2 0-16,9-1 0 15,-9 3 0-15,3 0 0 16,0 0 0-16,-4 2 0 0,3-2 0 15,5 3 8-15,-8-2 3 16,11 2 1-16,-8-3 0 16,4 0-12-1,0 4 0-15,0-3 0 16,3 0 0-16,1-1 0 16,3 1 0-16,7-1 0 0,-7 0 0 15,7-3 0-15,-7 0-17 0,7 1 4 16,7-4 1-16,0 0 12 0,0 0 0 0,-7 3 0 15,7-3 0-15,0 0 0 0,0 0 0 0,0 0 0 0,0 0 0 0,0 0 0 0,0 0 0 16,0 6 0-16,4 0 0 0,-1-3 0 0,-3 5 0 16,4-5 0-16,-1 0 0 0,5 3 0 0,-2-3 0 0,1 3 0 15,0 4 0-15,0-4 0 0,-4 0 0 16,4 4 0-16,1 0 0 0,-1-1 0 16,0 1 0-16,-1 3 0 0,1 0-9 15,4-1 9-15,-4 5 11 16,0-1-3-1,0-1 0-15,0 1-8 0,-1 4 12 16,6-2-12-16,-5 1 12 16,0 2-12-16,0 1 0 0,0 0 0 0,0-3 0 15,6 6 0-15,-9-3 0 16,3 1 0-16,3 0 0 16,1-1 0-16,-4-3 0 15,0 0 0-15,-3 0 0 0,2 1 0 0,-3 5 0 0,4-2 0 16,4 3 0-16,-11-5 0 0,7 4-17 0,0-2 4 0,0 2 1 0,-7-6 12 15,4 5 0-15,3-2 0 0,-4-4 0 0,0 5 0 0,1-4 0 16,-1 3 0-16,4-2 0 0,-7-4 0 16,0-3 0-16,7-1 0 0,-7-2 0 0,0 0 0 15,6-4 10-15,-6 4-2 0,0-4 0 0,0-3-8 0,0-3 0 16,0 0 0-16,0 0 0 0,0 0 0 0,0 0-11 0,0 0 3 0,0 0 0 0,0 0 8 0,0 0 9 0,0 0-1 0,0 0-8 0,0 0 0 0,0 0 0 0,0 0 0 0,0 0 0 0,0 0-134 0,0 0-24 0,0 0-5 0</inkml:trace>
        </inkml:traceGroup>
      </inkml:traceGroup>
    </inkml:traceGroup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1:41:28.942"/>
    </inkml:context>
    <inkml:brush xml:id="br0">
      <inkml:brushProperty name="width" value="0.03528" units="cm"/>
      <inkml:brushProperty name="height" value="0.03528" units="cm"/>
    </inkml:brush>
  </inkml:definitions>
  <inkml:traceGroup>
    <inkml:annotationXML>
      <emma:emma xmlns:emma="http://www.w3.org/2003/04/emma" version="1.0">
        <emma:interpretation id="{EA302DC1-7FA1-4DD7-9018-7FB12429AA8B}" emma:medium="tactile" emma:mode="ink">
          <msink:context xmlns:msink="http://schemas.microsoft.com/ink/2010/main" type="writingRegion" rotatedBoundingBox="18736,91934 21479,91924 21483,92879 18740,92889"/>
        </emma:interpretation>
      </emma:emma>
    </inkml:annotationXML>
    <inkml:traceGroup>
      <inkml:annotationXML>
        <emma:emma xmlns:emma="http://www.w3.org/2003/04/emma" version="1.0">
          <emma:interpretation id="{BCCFFEE0-B5AF-42B1-8635-953924A3F30C}" emma:medium="tactile" emma:mode="ink">
            <msink:context xmlns:msink="http://schemas.microsoft.com/ink/2010/main" type="paragraph" rotatedBoundingBox="18736,91934 21479,91924 21483,92879 18740,9288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AE29DBC6-2D46-478D-8B20-66A2B7B2DFD9}" emma:medium="tactile" emma:mode="ink">
              <msink:context xmlns:msink="http://schemas.microsoft.com/ink/2010/main" type="line" rotatedBoundingBox="18736,91934 21479,91924 21483,92879 18740,92889"/>
            </emma:interpretation>
          </emma:emma>
        </inkml:annotationXML>
        <inkml:traceGroup>
          <inkml:annotationXML>
            <emma:emma xmlns:emma="http://www.w3.org/2003/04/emma" version="1.0">
              <emma:interpretation id="{8FAA59B8-F5BE-4C72-8679-F638ADEF7F6B}" emma:medium="tactile" emma:mode="ink">
                <msink:context xmlns:msink="http://schemas.microsoft.com/ink/2010/main" type="inkWord" rotatedBoundingBox="18736,91934 21479,91924 21483,92879 18740,92889"/>
              </emma:interpretation>
              <emma:one-of disjunction-type="recognition" id="oneOf0">
                <emma:interpretation id="interp0" emma:lang="" emma:confidence="1">
                  <emma:literal>Szoba</emma:literal>
                </emma:interpretation>
                <emma:interpretation id="interp1" emma:lang="" emma:confidence="0">
                  <emma:literal>Szoba,</emma:literal>
                </emma:interpretation>
                <emma:interpretation id="interp2" emma:lang="" emma:confidence="0">
                  <emma:literal>Szoba.</emma:literal>
                </emma:interpretation>
                <emma:interpretation id="interp3" emma:lang="" emma:confidence="0">
                  <emma:literal>Szóba</emma:literal>
                </emma:interpretation>
                <emma:interpretation id="interp4" emma:lang="" emma:confidence="0">
                  <emma:literal>SzOba</emma:literal>
                </emma:interpretation>
              </emma:one-of>
            </emma:emma>
          </inkml:annotationXML>
          <inkml:trace contextRef="#ctx0" brushRef="#br0">624 44 1174 0,'-8'-13'49'16,"5"7"-39"-16,-4 0 66 0,3-1 12 0,-3 4 4 0,4 0 0 15,-4 0-42-15,-1 0-8 0,1 3-2 0,0 0 0 16,0 0-20-16,-3 0-4 0,6 3 0 0,-7 0-1 15,-6 0-3-15,6 0 0 0,0 1 0 0,-3-1 0 16,-3 0 2-16,-1 0 0 0,0 0 0 0,0 0 0 16,4 1 11-16,-7 2 3 0,3-3 0 0,4 0 0 15,-7 0-6-15,0-3-1 0,3 3 0 0,-7 1 0 16,11-1-21-16,-7 0 0 0,6 3 0 0,1 0 0 16,-4 1 14-16,4 2-2 15,0-2 0-15,-4 2 0 16,11 4-12-16,-10 5 0 0,6-8 0 15,0 9 0-15,4-3 0 0,0-1-16 0,7 4 3 16,-10-3 1-16,6 3 12 16,4-3 0-16,4 2 0 15,6-5-9-15,-10 3 9 16,7-4 0 0,0 1 8-16,4-4-8 15,0 4 0-15,-1-7-8 16,4 4 0-16,-6-1 0 15,6-6 8-15,-4 4-8 16,12-1 8-16,-8-3-8 16,3 0 8-16,5 0 11 15,-5-3-3-15,12 4 0 16,-11-4 1-16,3 3 0 0,0 0 0 0,-3 0 0 16,3 0 12-16,0 4 3 0,4-4 0 0,-4 0 0 0,-3 3-13 0,3-3-3 15,-7 4 0-15,-3-1 0 0,3-3-8 0,-7 3 0 0,4 7 0 16,-7-10 0-16,3 3 0 0,-4 1 8 0,4 2-8 15,-7-3 0-15,7 4 13 0,-14-1-2 0,4 4-1 16,-1 0 0-16,1-1 6 0,-4 1 0 0,3-1 1 16,-7 4 0-16,-3 3 0 0,0-6 0 0,-4 2 0 15,4 1 0-15,-4-3-5 0,4-1-2 16,-7 4 0-16,0-3 0 0,3-1-2 0,-7 1 0 16,4-1 0-16,-4 1 0 0,4-7-8 0,0 4 8 15,-1-1-8-15,5-2 8 0,-8-4-8 0,11 0 0 0,-8 0 0 16,1-3 0-16,3 0 0 0,1 0 0 0,-1 0 0 0,0-3 0 0,11 3-9 0,-18-3-4 15,11 6-1-15,7-3 0 0,-7-3-13 0,7 3-2 0,7 0-1 0,0 0 0 0,0 0-131 16,0 0-27-16,0 0-4 0</inkml:trace>
          <inkml:trace contextRef="#ctx0" brushRef="#br0" timeOffset="2170.688">542 507 1428 0,'0'0'60'0,"0"0"-48"15,0 0 38-15,0 0 7 0,0 0 2 0,0-9 0 16,4 2-51-16,-1 4-8 0,4 0 0 0,-3-7 0 16,6 4 0-16,-3-3 0 0,8-4 0 0,-5 4 0 15,4-1 10-15,1 1-10 0,-1-1 12 0,-7 1-12 16,7 3 21-16,-3-1-2 0,6 7-1 0,-10-6 0 15,8 0 14-15,-1 3 4 0,0-4 0 0,-3 4 0 16,-1 3 0-16,1 0 0 0,-4 0 0 0,0 3 0 16,0 0-4-16,0 4 0 0,0-4 0 0,-3 6 0 15,-4-2-16-15,7 2-3 0,-7 4-1 0,0-1 0 16,-7 1 0-16,3-1-1 0,-6 4 0 0,3 0 0 16,-4 0 1-16,4-1 1 15,-7-2 0-15,3 3 0 16,-3 3-13-16,0 3 11 15,0-7-11-15,-1 4 10 16,5-3 9-16,-8 3 1 0,4-3 1 0,0-4 0 0,0 1-21 0,3 0 0 16,-7-1 0-16,15-2-12 0,-12-1 12 15,8 1 16-15,-7-1-4 0,7-3-1 0,0 1-11 16,7-7 0-16,0 0 9 0,0 0-9 0,0 0 0 0,0 0 0 0,0 0 0 0,0 3-8 0,-4 3-2 0,8 0 0 16,-4-3 0-16,4 4 0 0,-1-4 10 0,4 0 9 0,7-3-1 15,-7 0-8-15,8 3 0 0,-5 0 0 0,4 4 0 16,1-4 0-16,-1 0 0 0,3 0 0 0,5 0 0 0,-8-3 0 15,11 3 0-15,-4-3 0 0,0 0 0 0,4 0 0 0,0 0 0 16,3-3 0-16,-3-3 0 0,3 3 0 0,-6-3 0 16,2-1 0-16,1 4 0 0,-3-3 0 0,2-1 0 15,-2 1 0-15,2 3 0 0,-2-3 0 0,-1-1 0 16,-3 1 0 0,3-3 0-16,-7-1 0 0,4 1 0 15,-4 6 0-15,0-10 0 16,0 4 0-1,4-1 0-15,-4 4 0 0,-3-4 0 16,-1 1 0-16,1-1 0 0,-4-2 0 0,0-1 0 0,0 1 0 16,0-1 0-16,-7 0 0 0,4 1-12 0,0-1 3 0,-4 4 9 15,-4-4 0-15,4 4 0 0,-4-1 0 0,1 1 0 16,-1-1 12-16,-3 4-4 0,-7-3 0 0,3 2-8 0,1 1 0 0,-1 3 0 16,4-7 0-16,-14 7 8 0,7 0 0 0,3 0 0 0,-3 3 0 0,-4 0-8 15,4 0 0-15,0 3 0 0,-4 3 0 0,4-2 0 0,7 2 0 16,-7 0 0-16,7 4 0 0,-8-1 0 15,12 4 0-15,-4-1 0 16,3-2 0-16,4 6 0 16,-10-4 0-16,10 1 0 0,0-1 0 0,-8 1 0 15,8 0 0-15,8-4 0 0,-8 0 0 16,0 1 0-16,7-1 0 0,-4-2 0 0,4-1 0 16,0-3 0-16,8 3 0 0,-8-6 0 0,7 4 0 0,-7-8 0 15,4 4 0-15,3-6 0 0,0 0 0 0,-3 3 0 16,3-4 0-16,0 1 0 0,4 0 0 15,-8-1 0-15,8 1 0 0,-4-3 0 16,-3 2 0-16,-1-2 0 0,1-4-12 0,-4 1 4 16,0 2 0-16,0 1 8 0,0-4 11 15,-7 4-3-15,4-1 0 0,-8 1-8 0,4-1 0 16,-7 1 0-16,0 0 0 0,0-4 0 0,-7 3 0 0,3 1 0 16,-3-4 0-16,0 4 0 0,0 3 8 15,3-7-8-15,-3 7 8 0,0-1-8 16,3 1 0-16,-3 3 0 0,0 0 0 0,0 0 0 0,3 0 0 15,4-1 9-15,0 4-9 0,0-3 8 0,7 3-8 0,0 0 8 0,0 0-8 0,0 0 0 0,0 0 0 16,0 0-12-16,0 0 4 0,7 7 8 0,-4-1 0 0,4-3 0 0,8 3 0 0,-1 1 0 16,4-1 0-16,3-3-9 0,4 7 9 0,-4-7 0 0,7-3-11 15,4 3 11-15,-4 0-8 0,4-6 8 0,-3 0 0 16,3 3 0-16,-8-13 0 16,5 7 0-16,3-7 0 0,-8 1 0 15,5-1 0-15,-1-3 0 16,4-3 11-16,-7 4-11 15,3-7 12-15,-3 3-2 16,3-7 0-16,-3 1 0 16,0 0 0-16,-7 0-10 15,6-4 8 1,-13 7-8-16,3-6 8 16,0 9-8-16,-7-3 0 15,1 0 9-15,-5 3-9 16,-3 0 8-16,0 4-8 15,0-1 10-15,-3-3-10 0,-5 6 8 16,1-2-8-16,7 2 0 0,-14 0 0 0,4 4 8 0,3 6-8 0,-8-4 0 16,-2 4 0-16,2 3 0 0,1 3 0 0,0 4 0 15,-4-4 0-15,4 6 8 0,0 4-8 16,-4 0 0-16,4 2 9 0,0 7-9 0,-4-3 0 16,4 10-10-16,0-1 10 0,7-3 0 0,-11 7 0 15,7-1-8-15,1 4 8 0,3-1 0 0,0 7 0 16,-4 3 0-16,7-3-9 0,1 0 9 0,3-3 0 15,-4 0 0-15,4 3 0 0,4-10 0 16,-1 4 0-16,-3 0 0 0,8-4 0 0,-1-2 0 0,0-1 0 16,7-3 0-16,-3-3 0 0,-1-3 0 0,1 0 0 15,3-3 0-15,-3-1 0 0,3-2 0 0,0 0 0 16,0-4 0-16,0-3-8 0,4 1 8 0,-4-7 0 0,4 0 0 16,-4-3 0-16,7-4 0 0,-10-2 0 0,3-1 0 15,0-2 0-15,1 2 0 0,-5 4 0 0,-3-10 0 0,7 7-8 16,-7-7 16-16,1 0 4 0,-5-3 1 0,4 1 0 0,-3 2-13 15,-1-3 8-15,1 3-8 0,-4 0 0 0,-4 4 9 0,4-4-9 16,-7 7 8-16,4-7-8 0,-4 6 8 16,-1-2-8-16,1 2 0 0,0-2 8 0,-3-1-8 15,-1 4 8-15,0-1-8 0,-3 4 8 0,0-4-8 16,0 4 12-16,3 0-12 0,-3 3 12 16,0-4 1-16,3 7 1 0,4-3 0 15,0 3 0-15,7 0 2 0,0 0 0 0,0 0 0 0,0 0 0 0,0 3-16 0,-7 4 0 0,7-1 0 16,0 0-10-16,7 1 10 0,0 2 0 0,0 4 0 0,7-4 0 15,4 4 0-15,0-1 0 0,3 1 0 0,0 0-8 16,4-1 8-16,4 1 0 0,-12 2 0 0,12-2 0 0,-5-7-10 0,5 1 10 0,-8-1-12 0,11-3 12 0,0-3-9 16,-7 0 9-16,10-3 0 0,-7 3-9 0,4-6 9 15,0-1-8-15,-7-2 8 0,3-1-8 0,-3-2 8 0,-4 6 0 16,1-10 0-16,-5 0-8 0,-2 3 8 0,-1-2 0 16,-4-1 0-16,1 0 0 0,0 4 0 15,-4-4 0-15,7 3 0 0,-14 1 0 16,3-1 8-16,-3 0-8 0,0 1 8 0,-3-1-8 15,3 1 0-15,-7-1 0 0,0-3 0 16,0 7-8-16,-4-4 8 0,4 4 0 0,-4-1 0 16,1 4 0-16,3 3 0 0,-11 0 0 0,7 0 0 0,1 3 0 15,-5 3 0-15,-2 0 8 0,3 3-8 16,-1 4 0-16,5-1 0 16,-4 1 0-16,-1 5 0 15,1-2 0-15,4 0 0 16,-1-4 0-1,0 0 0-15,4 4 0 0,0 0 0 16,0-1 0-16,0 1 0 16,7-1-8-16,0-2 8 15,0 2 0-15,7-2 0 0,0-4 0 16,-7 1 0-16,7-1 0 0,0 0 0 0,0-3 0 0,0 0 0 16,1 1-13-16,2-1 5 0,-3 0 8 0,7-3 0 15,-6 3 0-15,2-3 0 0,4-3 0 0,-7 0 0 0,4 0 0 16,3-1 0-16,0-2 0 0,-6 3 0 15,6-3 0-15,-7 3 0 0,0-4 0 16,4 4 0-16,-4 3 0 16,0-3 0-16,0 3 0 15,-4 0 8-15,4-6 0 0,0 2 0 0,-3 1 0 16,7 0-8-16,-11 3 0 16,7-3 0-16,0 3 8 0,0-3 9 0,-7 6 2 0,7 0 0 15,-3 0 0-15,3 0 15 0,-4 1 3 16,8 2 1-16,-4-6 0 15,7 6-10-15,-3 1-3 0,-1 2 0 16,8 0 0-16,-4 1 12 0,4 2 3 16,3 1 0-16,-3 6 0 0,3 0-23 15,0 0-4-15,4 6-1 0,0-9 0 0,3 6-12 16,-3-3 0-16,4 3 0 0</inkml:trace>
        </inkml:traceGroup>
      </inkml:traceGroup>
    </inkml:traceGroup>
  </inkml:traceGroup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1:41:25.242"/>
    </inkml:context>
    <inkml:brush xml:id="br0">
      <inkml:brushProperty name="width" value="0.03528" units="cm"/>
      <inkml:brushProperty name="height" value="0.03528" units="cm"/>
    </inkml:brush>
  </inkml:definitions>
  <inkml:traceGroup>
    <inkml:annotationXML>
      <emma:emma xmlns:emma="http://www.w3.org/2003/04/emma" version="1.0">
        <emma:interpretation id="{11C3C12E-81C4-4067-B873-B87176EA4DC7}" emma:medium="tactile" emma:mode="ink">
          <msink:context xmlns:msink="http://schemas.microsoft.com/ink/2010/main" type="writingRegion" rotatedBoundingBox="22571,95197 26457,95109 26481,96171 22595,96259"/>
        </emma:interpretation>
      </emma:emma>
    </inkml:annotationXML>
    <inkml:traceGroup>
      <inkml:annotationXML>
        <emma:emma xmlns:emma="http://www.w3.org/2003/04/emma" version="1.0">
          <emma:interpretation id="{4FD9084F-08D2-4DDB-AE75-85F96EE86483}" emma:medium="tactile" emma:mode="ink">
            <msink:context xmlns:msink="http://schemas.microsoft.com/ink/2010/main" type="paragraph" rotatedBoundingBox="22571,95197 26457,95109 26481,96171 22595,9625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BE87085-31D5-47E1-B90C-58AC85BCF929}" emma:medium="tactile" emma:mode="ink">
              <msink:context xmlns:msink="http://schemas.microsoft.com/ink/2010/main" type="line" rotatedBoundingBox="22571,95197 26457,95109 26481,96171 22595,96259"/>
            </emma:interpretation>
          </emma:emma>
        </inkml:annotationXML>
        <inkml:traceGroup>
          <inkml:annotationXML>
            <emma:emma xmlns:emma="http://www.w3.org/2003/04/emma" version="1.0">
              <emma:interpretation id="{B6984FD1-B815-43EE-9ADE-D8441A837D89}" emma:medium="tactile" emma:mode="ink">
                <msink:context xmlns:msink="http://schemas.microsoft.com/ink/2010/main" type="inkWord" rotatedBoundingBox="22571,95197 26457,95109 26481,96171 22595,96259">
                  <msink:destinationLink direction="from" ref="{7231512C-F484-4978-BBA1-64D388B3DD79}"/>
                </msink:context>
              </emma:interpretation>
              <emma:one-of disjunction-type="recognition" id="oneOf0">
                <emma:interpretation id="interp0" emma:lang="" emma:confidence="0">
                  <emma:literal>Lorshe</emma:literal>
                </emma:interpretation>
                <emma:interpretation id="interp1" emma:lang="" emma:confidence="0">
                  <emma:literal>zorshe</emma:literal>
                </emma:interpretation>
                <emma:interpretation id="interp2" emma:lang="" emma:confidence="0">
                  <emma:literal>Lorhe</emma:literal>
                </emma:interpretation>
                <emma:interpretation id="interp3" emma:lang="" emma:confidence="0">
                  <emma:literal>corshe</emma:literal>
                </emma:interpretation>
                <emma:interpretation id="interp4" emma:lang="" emma:confidence="0">
                  <emma:literal>zorhe</emma:literal>
                </emma:interpretation>
              </emma:one-of>
            </emma:emma>
          </inkml:annotationXML>
          <inkml:trace contextRef="#ctx0" brushRef="#br0">801 363 1728 0,'-21'18'36'0,"17"-10"8"0,-3-2-35 0,0 0-9 16,-7 0 0-16,7 1 0 0,-4 5 8 0,4 1 0 0,-7-1 0 0,0 4 0 15,-1-4-8-15,-2 1 0 0,-1-4 0 0,0 4 0 16,1-4 0-16,-8 3 0 0,4 2 0 0,-8-2 0 16,4 4 8-16,1-4 0 0,-5 4 0 0,4 0 0 15,4-1 22-15,-7-2 4 0,10 2 1 0,-10-2 0 16,10-1-3-16,-10-1-1 0,10 1 0 0,-10 1 0 15,6-4-14-15,-2 4-2 0,2-1-1 0,5-6 0 16,-8 1-14-16,4-1 0 16,6-3 0-16,-9 0 0 0,9-3 15 15,8 3-3-15,-7 0-1 0,3-3 0 16,4 0-11-16,0 0 0 0,0-3 0 0,7 3-11 0,0 0 11 0,0 0 0 0,0 0 8 0,0 0-8 0,-7-3 0 0,7 3 0 16,0-6 0-16,0 0 0 0,0 6 11 0,0-7-3 0,7 4 0 15,-7 0 0-15,7 0-8 0,0 0-17 16,4 3 4-16,-4 3 1 15,0-3 12-15,0 0 16 0,7 0-3 16,-10 3-1-16,7-3-12 0,-1 3 0 16,4 4 0-16,1-4 0 15,-5 6 0-15,4-3 11 16,1 4 0-16,-1 0 0 16,-4-1-1-16,5 1 0 0,-1-4 0 15,0 3 0-15,0-1-1 0,4-2 0 16,-4 0 0-16,-3 0 0 0,3 1-1 0,7-1-8 0,-7 0 12 15,4 0-4-15,3 1 0 0,0-4 0 0,4 3 0 16,-3 0 0-16,2-3 5 16,1 4 1-16,3-1 0 0,-3 0 0 15,4-3-14-15,-8 3 0 0,4-2-9 16,-4 2 9-16,4-6 0 0,-4 0 0 16,4 0 0-16,-7-6 0 0,3 2 0 0,0-2 0 15,0 3 0-15,4-3 0 0,-11-4 0 16,11 4 13-16,-11-6-2 0,8 2-1 15,-5 1-10-15,5 0 0 0,-12-4 0 0,4 1 0 0,1-2 0 16,-1 5 0-16,0-1-12 0,4-3 12 0,-11 4 0 0,0-1 0 0,0 1 0 16,0 3 0-16,0-4 0 0,-3 1 0 0,3 3 0 0,-7-4 0 15,0 10 0-15,0-6 0 0,0 6 0 0,0 0 8 0,0-6-8 0,-7-4 8 16,3-2-8-16,-3 6 8 0,0-5-8 0,0 5 8 16,0 0-8-16,-8-1 8 0,1 1 5 0,4 3 1 15,-4-3 0-15,-1 3 0 0,-2 0 18 16,2-1 3-16,1 1 1 15,-3 3 0-15,2 0-20 16,1 3-4-16,-4 1-1 16,1 2 0-16,6-3 0 0,-3 3 0 15,3 0 0-15,1 1 0 16,-1-1-11-16,4 3 0 16,0-1 0-16,-4-2 8 15,4 3-8-15,0 1 0 16,4-1 0-16,-1 3 0 15,4-2 0-15,-7-1 0 16,7 4 0-16,0-4 0 16,7 0 0-16,-7-2 0 15,4 3 0-15,-1-1 0 16,4-6 0-16,0 4 0 16,4-7-9-1,3 3 9-15,-7 0 0 0,7 0 0 16,4 0 0-16,-4 0 0 15,-3-3 0-15,10 3 0 16,-7-3 0-16,0 0 0 16,4-3 0-1,3 3 0-15,-6-3 0 16,2 3 0-16,-2-3 0 0,2 0 0 0,-3 0 0 16,8-3 0-16,-12-1 0 15,4-2 0 1,1-4 0-16,-1 3 0 15,-7-2 0-15,4-4 0 16,-4 4 0-16,7-4 0 0,-7 0 0 16,0-2 0-1,4-2 0-15,-4 1 0 16,0 3 0-16,0 1 0 16,0-1 0-16,-7 1 0 15,7-1 0-15,-7-3 0 16,0 1 0-16,7 1 0 15,-7 4 0-15,4 1 0 16,-4 6 0-16,3-1 0 16,-3 1 0-16,0 6 8 15,0 0-8-15,0 0 0 0,0 0 0 0,0 0 0 0,0 0 0 16,0 0 0-16,0 0 0 0,0 0 0 0,0 0 0 0,4 3-10 0,-1 0 10 0,1 4 0 0,-1-1 0 16,-3 0 0-16,4 0 0 0,3 4 0 0,-7-4 0 15,7 3 0-15,0-1 0 0,-7-2 0 0,7-3 0 0,0 3 0 16,4-3 0-16,-4 1 0 0,7-1 0 15,-7 0 0-15,4 0 0 0,0 0 0 0,-1-3 0 16,4 3 0-16,-7 0 0 0,4 0 0 16,3-3 0-16,0 3 0 0,-3-3 0 0,3 0 0 0,0 4 0 15,1-4 0-15,-5 0 0 0,1 0 0 16,0 0 0-16,3 0 0 16,-4 0 0-1,-3 3 0-15,4 0 0 0,0 0 0 16,-4 0 0-16,0-3 0 15,0 3 0-15,-7 0 0 0,7 0 0 16,-3 4 0 0,-1-1 0-16,1 0 0 15,-4 0 0-15,3 4 0 0,-3-4 0 16,4 3 0-16,3-2 0 0,-7-4 0 0,0 3 0 16,0-3 0-16,0-3 0 0,7 6 0 0,-7-1 0 0,0-5 0 15,0 0 0-15,7 3 0 0,-7-3 0 0,7 3 0 0,-7-3 0 16,4 3 0-16,3 0 0 0,-4-3 0 15,4 0 0-15,4-3 8 0,-4 0-8 16,0 0 0-16,0 0 0 16,4-2 0-16,3-1 0 15,0 3 8-15,0-3-8 16,4 0 0-16,3 2 0 0,-3-2 0 16,3 0 0-16,1 0 0 15,2-1 0 1,1 1 0-16,4 0 0 0,-8 0 0 15,11 3 0-15,-11-4 0 0,4 1 0 16,-4 0 9-16,0-4-9 16,4 4 10-16,-7 3 22 15,3 0 5-15,-3 3 1 0,3 0 0 16,0 0-23-16,-3 0-5 0,3 3-1 16,-7 0 0-16,4 3-9 0,-4 1 0 15,1 2 0-15,-5 0 0 0,4 4 0 16,1-4 0-16,-8 4 0 15,0 2 0-15,0 4 0 16,-4 1 0-16,4 2 0 16,-3-3 0-16,-4 2 0 0,0 1 0 15,0 4 0-15,0-7 0 0,-4 4 0 16,1-4 0-16,-4-1 0 0,3-2 8 0,1 0-8 16,-11-1 10-16,6 4-10 0,-2-7 10 0,-1 4-10 0,1-2 0 0,2-2 0 15,-9-3 0-15,6 1 0 0,0-4 0 0,-3 0 0 0,7-3 0 0,-7 4 0 16,3-4 0-16,4 3 0 0,-7-6 0 0,4 3 0 0,2-3 0 0,-2-3 0 15,6 0 0-15,-10 0 10 0,7-3-10 0,7-1 12 0,-11 4-12 0,4-3 8 0,4-3-8 0,-1 2 0 16,-3-2 0-16,7 0 0 0,-7 1 0 0,7-1 0 0,0 0-9 0,0-1 9 0,0 1 0 16,0-4 8-16,0 4-8 0,0 3 0 15,7-4 0-15,-7 1 0 16,0 0 0-16,4 2 0 0,-1-2 0 16,1 0 0-1,-1-1-8-15,1 4 8 0,3-8 0 16,0 8 0-16,0-3 0 15,0-1 0-15,-7 1 0 16,7-1 0-16,0 0 8 16,0 1-8-16,1-3 0 15,2-1 0-15,-3 1 0 16,0 2 0-16,0-2 0 16,4 2 0-16,-4-2 8 15,7-2-8-15,-7 5-8 0,0-4 8 16,1 1-12-16,-1-1 12 15,0 4 0-15,3 0 8 16,-3-4-8 0,1 4 0-16,-8-4 0 0,7 1 0 15,-4 3 0-15,1-1 0 0,-1 1 0 16,-3 3 0-16,0-2-8 0,4 2 8 0,-4 0 0 0,0 0 0 16,0-1 0-16,0 7 0 0,0-6 0 0,-4 0 0 15,4 3 0-15,0 3 0 0,-7-7 9 16,7 7-9-16,-3-3 0 0,3 3 0 15,-7 0 0-15,-1 0 0 0,8 3 0 0,-7-3 0 16,0 4 0-16,7-4 0 16,-7 3 0-16,4 0 0 0,3-3 0 0,0 0 0 0,0 0 0 0,-4 3 0 0,4-3 0 15,0 0 0-15,0 0 0 0,0 0 0 0,0 0-9 0,0 0 9 0,0 0-8 0,0 0 8 0,4-3 0 16,3-3 0-16,-4-4 0 0,4 4 0 16,0-7 0-16,1 4 8 15,-1-3-8-15,-4-1 0 0,1-3 0 16,3 1 0-16,-4 1 0 0,1-1 0 0,7-1 0 0,-11 4 0 15,0-1 0-15,7 1 0 0,-7-1 0 0,0 1 0 0,0-1 0 16,0-7 0-16,0 5 0 0,-7-5 0 16,7 1 0-16,-8 1 0 0,5-4 0 0,-4 3 0 0,3 0 0 15,1 0 0-15,-4 1 0 0,7 1 0 16,-7-2 0-16,-1 7 0 0,8-1 0 16,-7 4 0-16,7 0 0 0,-7 2 0 15,7 7 0-15,0 0 0 16,0 0 0-16,0 0 0 0,0 7 0 0,0 2 0 0,0 4 0 15,7 2 0-15,-7 4 0 16,0 4 0-16,7 2-8 16,-7 0 8-16,8 3 0 0,-8 0 0 15,7 3 0-15,-7 1 0 16,7 1 0-16,0 1 0 16,0-3 0-1,4 8 0-15,-4-5 0 16,-7 4 0-16,7-1 0 15,-4-3 0-15,1 2 0 0,-1-5 0 0,-3 0 0 16,4 0 0-16,-4-1 0 0,3-2 0 16,-3-3 0-16,4 3 0 0,-4-3 0 0,4 4 0 15,3-3 0-15,-7-4 0 0,7-4 0 16,-7 1 0-16,0-6 0 16,0-1 0-16,7-2 0 15,-7-1 0-15,7-6 0 0,-7 0 0 16,0-3 0-16,7 0 0 0,0-6 0 0,0 0 0 0,4-7 0 0,-4 1 0 15,0-4 11-15,4-3-11 0,-1 1 0 16,1-4 0-16,-4-1 0 0,0 1 0 16,0 2 0-16,4-2 0 0,-4 4 0 0,0-1 0 15,0 3 0-15,7-2 0 16,-7 4 0-16,-3 2 0 16,6-1 0-16,-3 4 0 15,4 2 0-15,-4 1 0 16,-7 0 0-16,7 3 0 0,0 0 0 0,0 3 0 0,1 3 0 15,2 0 0-15,-3 0 0 0,0 3 0 0,0 1 0 0,-3-1 0 0,7 3 0 0,-4-3 0 0,3 1 0 16,-3 2 0-16,4-3 0 0,0 2 0 0,-4 1 0 16,10 0 0-16,-9 1 0 15,2 2 0-15,1-2 0 0,7 2 0 0,-11 1 0 16,7-1 0-16,4 1 0 0,-4 0 0 16,0-4 0-16,0 1 0 0,4-1 0 0,-4-3 0 15,-3 2 0-15,-1-5 0 0,8-3 0 0,-11 0 0 16,7-3 0-16,-7-2 0 0,4-1 0 15,3 0 0-15,-7-3 0 0,4-1 0 0,-1-3 8 16,-2 0-8-16,2-2 8 0,-3 2-8 0,0-6 0 0,0 4 0 0,0-1-11 16,1 1 11-16,-8-2 0 0,3 1 0 0,-3 1 0 15,-3-1 0-15,3 0 11 0,-4 1-3 16,0 2 0-16,1 1-8 0,-1-1 0 0,-3 4 0 0,0 0 0 16,0-2 0-1,-3 2 0-15,-1 0 0 0,4-1 0 16,-4 7 28-16,4 0 3 0,-4 3 1 15,4 0 0-15,-3 3-20 0,6 0-3 0,-10 3-1 0,7 1 0 16,0-1 4-16,-4 0 0 0,8-3 0 0,-4 8 0 16,3-5-12-16,-3 6 0 0,7-2 0 0,0-1 0 0,0 4 0 15,0-4 0-15,0 3 0 0,7-2 0 0,-7-1 0 0,7 4 0 16,4-1 0-16,3-2 0 0,-7 2 0 0,7-3 0 16,0 2 0-16,4-2 0 0,-4 1 0 0,8-1 8 0,2 0-8 15,-2 1 8-15,9-4-8 16,1 0 12-16,-3 0-12 0,3 1 12 15,3-1 16 1,4-3 3-16,0 3 1 16,7-6 0-16,-7 3-18 0,7-6-3 15,-7 3-1-15,11-6 0 0,-1 3-10 16,12-6 0-16,-1 2 0 0,0-2 0 16,0 0-32-16,4-1-8 0,3 1-1 0</inkml:trace>
        </inkml:traceGroup>
        <inkml:traceGroup>
          <inkml:annotationXML>
            <emma:emma xmlns:emma="http://www.w3.org/2003/04/emma" version="1.0">
              <emma:interpretation id="{EEFBD95B-4E5C-40E0-9169-81326D3BF658}" emma:medium="tactile" emma:mode="ink">
                <msink:context xmlns:msink="http://schemas.microsoft.com/ink/2010/main" type="inkWord" rotatedBoundingBox="22785,95472 22879,95470 22896,96220 22802,96222"/>
              </emma:interpretation>
              <emma:one-of disjunction-type="recognition" id="oneOf1">
                <emma:interpretation id="interp5" emma:lang="" emma:confidence="1">
                  <emma:literal/>
                </emma:interpretation>
              </emma:one-of>
            </emma:emma>
          </inkml:annotationXML>
          <inkml:trace contextRef="#ctx0" brushRef="#br0" timeOffset="-3440.945">259 341 1102 0,'0'0'23'0,"0"-3"5"0,-7-1-28 0,0-2 0 0,3 3 0 0,4 3 0 0,0 0 43 15,-7 0 3-15,0 0 1 0,7 0 0 0,-4 3 13 0,4-3 2 0,0 0 1 0,-3 0 0 16,3 0-4-16,0 0-1 0,-7-3 0 0,7 3 0 16,0 0 6-16,0 0 2 0,-7 3 0 0,7 3 0 15,0 1-16-15,-7-1-3 0,7 3-1 0,0 1 0 16,0-1-10-16,7 1-3 0,-7 0 0 0,0 2 0 16,7 1-7-16,-7 2-2 0,7-2 0 0,-7-1 0 15,3 1-5-15,1-4-2 0,3 1 0 0,-3-1 0 16,-1 4-4-16,1-1-1 15,3-3 0-15,-7 5 0 0,7 2 16 0,-7-1 4 0,7 1 0 0,-7 2 0 16,0-2-17-16,7 3-3 0,-7 0-1 16,0-1 0-16,4 2 1 0,-1 2 1 0,1 0 0 15,-1 3 0-15,1-3 0 0,-4 4 0 0,3 0 0 0,1-5 0 16,-4 1-4-16,7 0-1 0,-7-3 0 0,0-3 0 16,0 2 12-16,0-5 1 15,0-1 1-15,0 2 0 16,0-2-22-1,0-2 0-15,0-1 0 16,0 0 0-16,-7-2 0 16,7-1 0-16,0-6 0 0,0 0 0 0,0 3 0 15,0-3 0-15,0 6 0 0,0-6 0 0,0 0 0 0,-4 3 0 0,4-3 0 16,0 0 0-16,0 0 0 0,0 3 0 0,0-3 0 0,0 0 0 16,0 0 0-16,0 0 0 0,0 0 0 0,0 0 0 0,0 0-96 0,11-3-18 0,-11-6-3 15</inkml:trace>
        </inkml:traceGroup>
      </inkml:traceGroup>
    </inkml:traceGroup>
  </inkml:traceGroup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02.74362" units="1/cm"/>
          <inkml:channelProperty channel="Y" name="resolution" value="340.5865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3-04-04T21:41:08.993"/>
    </inkml:context>
    <inkml:brush xml:id="br0">
      <inkml:brushProperty name="width" value="0.03528" units="cm"/>
      <inkml:brushProperty name="height" value="0.03528" units="cm"/>
    </inkml:brush>
  </inkml:definitions>
  <inkml:traceGroup>
    <inkml:annotationXML>
      <emma:emma xmlns:emma="http://www.w3.org/2003/04/emma" version="1.0">
        <emma:interpretation id="{76CA3051-CA80-4248-8A13-00C3CC0BF198}" emma:medium="tactile" emma:mode="ink">
          <msink:context xmlns:msink="http://schemas.microsoft.com/ink/2010/main" type="inkDrawing" rotatedBoundingBox="32777,98145 34977,97982 35086,99463 32887,99627" hotPoints="35089,98804 33967,99558 32818,98845 33940,98091" semanticType="enclosure" shapeName="Ellipse">
            <msink:destinationLink direction="to" ref="{7231512C-F484-4978-BBA1-64D388B3DD79}"/>
          </msink:context>
        </emma:interpretation>
      </emma:emma>
    </inkml:annotationXML>
    <inkml:trace contextRef="#ctx0" brushRef="#br0">1230 175 1825 0,'-7'-10'80'0,"-4"4"18"15,4 0-78-15,-7-2-20 0,7 1 0 0,-4 4 0 0,-3-3 13 0,7 0-1 0,-7 2 0 16,0-2 0-16,3 0-12 0,-7-1-10 15,1 1 2-15,-1-1 0 0,0 1 8 0,0 0 0 0,1 0 0 0,-5 0 0 16,5-2 0-16,-8 1 11 0,4 1-3 16,-1 0 0-16,-2-4 4 0,2 7 0 0,-6-4 0 15,3 4 0-15,0 0 8 0,4 0 1 0,-7 0 1 16,3-1 0-16,0 4-13 375,4 4-9-375,-7-1 12 0,3 0-12 0,-4 3 10 0,5 1-10 0,-5 3 8 0,4-1-8 16,-6 1 0-16,2 4 0 0,4-2 0 0,-3 4 0 0,3 0 0 0,0 0 0 0,4 3 0 0,-4 1 0 0,4 1 0 0,0-4 0 0,0-1 0 0,3 4 0 0,-3-1 0 0,3 1 10 15,-3-1 1-15,3 0 0 0,4 0 5 0,0 1 2 0,-4-1 0 0,4 4 0 0,7 0 1 0,-8 1 0 0,1 0 0 0,7 1 0 0,0-1 1 0,4 1 0 0,-5-3 0 0,1 1 0 16,7-1-20-16,0 5-14 0,0-1 2 0,0-4 1 0,0 0 11 0,7 0 16 0,-7 6-4 0,8-6-1 0,-5 0-11 0,4-1 0 0,0 3 0 0,7 0 0 0,-6 1 0 0,2 0 0 0,4 4 0 0,1-4 0 15,-1 2-8-15,-4-2-1 0,4-1 0 0,1-2 0 0,-1 0 9 0,4-2 14 0,-4-1-3 0,0 1-1 0,0-4-10 16,4-2 0-16,-4 6-10 0,4-3 10 0,-1-1 8 0,1 4 7 0,0-4 1 0,3 0 1 16,0-1 3-16,1 1 0 0,2-3 0 0,-6 4 0 15,10-4-3-15,-3 0 0 0,4-4 0 0,-5 5 0 16,5-5-1-16,-4 0-1 0,3 1 0 0,4 0 0 16,-7-4-15-16,10 1 0 0,-7-4 0 15,4 1 0-15,7-1 9 16,-10 3-1-16,6-3 0 0,1 4 0 15,-5-4 4-15,5 0 0 0,-4 4 0 0,3-7 0 16,-3 3-12-16,7-3 8 16,0-3-8-16,-7-1 8 15,7 4-8-15,-4-3 0 0,4 0 0 0,-3 0 0 16,3-4 8 0,0 1 0-16,-4-4 0 0,1-3 0 0,-1 3-8 0,4-3 0 0,-11 1 0 0,11-2 0 0,-7-1 37 0,-3-4 6 0,2-2 1 15,1-1 0-15,-3 3-26 0,3-3-5 0,-8 6-1 0,5-7 0 0,-8 3 7 0,4-2 1 0,-4 3 0 0,0-3 0 0,4-2-20 0,-4-1 0 0,-3-1 0 0,3 4 0 16,-3-5 20-16,3 2 0 0,-3-2 0 0,-4 2 0 0,0 3-20 0,1-4 0 0,-5 4 0 0,4-2 0 0,-7 2 0 0,1-1 0 0,-1 2 0 0,-4-2 0 15,4-2 0-15,-3 4 0 0,3 1 0 0,-4-1 0 0,-3-1 0 0,0-1 0 0,0-4 0 0,-3 4 0 16,3 1 0-16,-4 0 0 16,1 3 0-16,3-2 0 15,-4 0 0-15,-3 4 0 16,4-3 0-16,3 6 0 16,-7-3 0-16,-1 4 0 0,1-4 0 15,0 5 0-15,0-1 0 16,0-1 13-16,-4 2-4 0,4-1-1 15,0 2-8-15,-7 0 0 0,7-2 0 16,-4 4 0-16,4-2 0 0,-7 5 0 0,0 0 0 16,3-1 0-16,4 0 0 0,-7 1 0 0,0 0 0 15,3-4 0-15,-3 3 8 0,0-2-8 16,3 3 8-16,-3 1-8 0,0-6 0 0,0 4 0 0,-4-2 0 16,4 3 0-16,-7-2 11 15,-1-2-3-15,5 4-8 16,-5-4 12-16,5 4-12 0,-5-3 0 15,1 2 0-15,3 1 0 16,-3-4 8-16,3 4-8 16,-3 0 0-16,0 0 9 15,-4-2-9-15,4 1 0 16,3 4 0-16,-7 0 0 16,4-3 0-16,0 3 0 15,-8-4 0-15,5 4 0 16,-1-1 0-16,-3 4 0 15,3 0 0-15,-7 0 0 16,3 4 0-16,-6-1 0 16,10 4 0-16,-14-1 0 0,11 3 0 0,3 2 0 15,-7-1 0-15,4-1 0 0,3 4 0 0,-7-4 0 0,4 1 0 16,-1-1 0-16,5 4 0 0,-5-3 0 0,5 4 0 16,-8-5 0-16,3 1 0 0,4 3 0 0,-6-4 0 0,2 0 0 0,4 1 0 15,4 0 0-15,-4-1 0 0,4 1 0 0,0 0 8 16,0 0-8-16,3 0 0 0,-3 3 8 0,-1-4-8 0,5 5 0 15,-8-6 0-15,4 2 0 0,-1 2 0 0,5 2 0 16,-5 2 0-16,5-3 0 0,2 3 0 0,1-3 0 16,-7 4 0-16,10-6 0 0,-3 3 0 15,-4-1 0-15,8-3 0 0,-1 5 0 16,-3-1 0-16,7 2 0 0,-4 3 0 16,4-2 0-16,0-2 0 15,7 1 0-15,-7-3 0 0,0 2 0 16,7 0 0-16,-7 1 0 15,7-3 0-15,-7 3 0 0,3-4 0 16,4 4 0 0,0-3-14-16,0 2 5 0,4 4 1 15,3-7 0-15,-7 4 0 0,7 0 0 16,0-4-131-16,0 0-25 16</inkml:trace>
  </inkml:traceGroup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David Orosz" id="{0F5AEAA7-636F-4F88-B919-BC163B56DF82}" userId="S::david.orosz@polat.com::b192f232-2fb8-4ccb-9f65-4c8ef07817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9" dT="2022-02-08T12:40:21.75" personId="{0F5AEAA7-636F-4F88-B919-BC163B56DF82}" id="{5D806E29-C068-4C92-AF25-6A87C285BE1F}">
    <text>Konyhában szerintem nem kell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5" dT="2022-02-08T12:54:09.61" personId="{0F5AEAA7-636F-4F88-B919-BC163B56DF82}" id="{3E46EB7C-4594-49B3-BBB9-8E0A85F28730}">
    <text>Nem biztos hogy kell</text>
  </threadedComment>
  <threadedComment ref="C42" dT="2022-02-08T12:49:10.33" personId="{0F5AEAA7-636F-4F88-B919-BC163B56DF82}" id="{D47B3258-C2B6-4795-94FA-B777CE860A96}">
    <text>??</text>
  </threadedComment>
  <threadedComment ref="C189" dT="2022-02-08T12:52:51.74" personId="{0F5AEAA7-636F-4F88-B919-BC163B56DF82}" id="{94600FF7-D3E3-4A85-9A1B-FE1045750D5F}">
    <text>Elviszem</text>
  </threadedComment>
  <threadedComment ref="C206" dT="2022-02-08T12:53:20.62" personId="{0F5AEAA7-636F-4F88-B919-BC163B56DF82}" id="{5EE6455E-D21F-4F50-A35C-EB9A78B58A73}">
    <text>Még megbeszéljük, nem biztos hogy kell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mailto:Jakab.Szilard@gmail.com" TargetMode="External"/><Relationship Id="rId1" Type="http://schemas.openxmlformats.org/officeDocument/2006/relationships/hyperlink" Target="mailto:auracolor@hotmail.com%20%20T&#243;th%20R&#243;bert%20+3630%2068%2000%20444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="115" zoomScaleNormal="115" workbookViewId="0">
      <selection activeCell="K4" sqref="K4"/>
    </sheetView>
  </sheetViews>
  <sheetFormatPr defaultRowHeight="14.5" x14ac:dyDescent="0.35"/>
  <cols>
    <col min="1" max="1" width="37" customWidth="1"/>
    <col min="2" max="2" width="14" customWidth="1"/>
    <col min="3" max="3" width="16.81640625" bestFit="1" customWidth="1"/>
    <col min="4" max="4" width="15.36328125" bestFit="1" customWidth="1"/>
    <col min="5" max="5" width="15.54296875" bestFit="1" customWidth="1"/>
    <col min="6" max="6" width="16.1796875" bestFit="1" customWidth="1"/>
    <col min="7" max="7" width="21.54296875" style="207" customWidth="1"/>
    <col min="8" max="8" width="13.1796875" bestFit="1" customWidth="1"/>
    <col min="11" max="11" width="10.08984375" bestFit="1" customWidth="1"/>
  </cols>
  <sheetData>
    <row r="1" spans="1:11" x14ac:dyDescent="0.35">
      <c r="B1" t="s">
        <v>325</v>
      </c>
      <c r="C1" t="s">
        <v>326</v>
      </c>
      <c r="D1" s="644" t="s">
        <v>327</v>
      </c>
      <c r="E1" s="644"/>
    </row>
    <row r="2" spans="1:11" ht="32.25" customHeight="1" x14ac:dyDescent="0.7">
      <c r="A2" s="37" t="s">
        <v>396</v>
      </c>
      <c r="B2" s="425">
        <f>Díj!B123</f>
        <v>32.86</v>
      </c>
      <c r="C2" s="426">
        <f>F23</f>
        <v>4116574.1497777775</v>
      </c>
      <c r="D2" s="645">
        <f>C2/B2</f>
        <v>125276.14576317035</v>
      </c>
      <c r="E2" s="645"/>
    </row>
    <row r="3" spans="1:11" ht="51.75" customHeight="1" thickBot="1" x14ac:dyDescent="0.75">
      <c r="A3" s="37" t="str">
        <f>Díj!A2</f>
        <v>Jakab Szilárd</v>
      </c>
      <c r="B3" s="639" t="str">
        <f>Díj!A3</f>
        <v>Jakab.Szilard@gmail.com</v>
      </c>
      <c r="C3" s="639"/>
      <c r="D3" s="639"/>
    </row>
    <row r="4" spans="1:11" ht="95.25" customHeight="1" thickBot="1" x14ac:dyDescent="0.4">
      <c r="A4" s="48" t="s">
        <v>86</v>
      </c>
      <c r="B4" s="6" t="s">
        <v>58</v>
      </c>
      <c r="C4" s="6" t="s">
        <v>60</v>
      </c>
      <c r="D4" s="14" t="s">
        <v>57</v>
      </c>
      <c r="E4" s="14" t="s">
        <v>61</v>
      </c>
      <c r="F4" s="14" t="s">
        <v>56</v>
      </c>
      <c r="G4" s="14" t="s">
        <v>314</v>
      </c>
    </row>
    <row r="5" spans="1:11" ht="15.5" x14ac:dyDescent="0.35">
      <c r="A5" s="4" t="s">
        <v>0</v>
      </c>
      <c r="B5" s="1">
        <f>Díj!A9</f>
        <v>122800</v>
      </c>
      <c r="C5" s="15">
        <f>Díj!H9</f>
        <v>24000</v>
      </c>
      <c r="D5" s="1">
        <f>Anyag!A8</f>
        <v>0</v>
      </c>
      <c r="E5" s="15">
        <f>Anyag!E8</f>
        <v>0</v>
      </c>
      <c r="F5" s="424">
        <f>SUM(C5:D5)</f>
        <v>24000</v>
      </c>
      <c r="G5" s="1">
        <f>D5+B5</f>
        <v>122800</v>
      </c>
      <c r="I5" s="2"/>
      <c r="K5" s="2"/>
    </row>
    <row r="6" spans="1:11" ht="15.5" x14ac:dyDescent="0.35">
      <c r="A6" s="4" t="s">
        <v>33</v>
      </c>
      <c r="B6" s="1">
        <f>Díj!A20</f>
        <v>13000</v>
      </c>
      <c r="C6" s="15">
        <f>Díj!H20</f>
        <v>13000</v>
      </c>
      <c r="D6" s="1">
        <f>Anyag!A14</f>
        <v>18000</v>
      </c>
      <c r="E6" s="15">
        <f>Anyag!E14</f>
        <v>0</v>
      </c>
      <c r="F6" s="424">
        <f t="shared" ref="F6:F19" si="0">E6+C6</f>
        <v>13000</v>
      </c>
      <c r="G6" s="1">
        <f t="shared" ref="G6:G19" si="1">D6+B6</f>
        <v>31000</v>
      </c>
      <c r="I6" s="2"/>
      <c r="K6" s="2"/>
    </row>
    <row r="7" spans="1:11" ht="15.5" x14ac:dyDescent="0.35">
      <c r="A7" s="4" t="s">
        <v>8</v>
      </c>
      <c r="B7" s="1">
        <f>Díj!A27</f>
        <v>295500</v>
      </c>
      <c r="C7" s="15">
        <f>Díj!H27</f>
        <v>298750</v>
      </c>
      <c r="D7" s="1">
        <f>Anyag!A32</f>
        <v>239900</v>
      </c>
      <c r="E7" s="15">
        <f>Anyag!E32</f>
        <v>211100</v>
      </c>
      <c r="F7" s="424">
        <f t="shared" si="0"/>
        <v>509850</v>
      </c>
      <c r="G7" s="1">
        <f t="shared" si="1"/>
        <v>535400</v>
      </c>
      <c r="I7" s="2"/>
      <c r="K7" s="2"/>
    </row>
    <row r="8" spans="1:11" ht="15.5" x14ac:dyDescent="0.35">
      <c r="A8" s="4" t="s">
        <v>7</v>
      </c>
      <c r="B8" s="1">
        <f>Díj!A40</f>
        <v>315000</v>
      </c>
      <c r="C8" s="15">
        <f>Díj!H40</f>
        <v>303000</v>
      </c>
      <c r="D8" s="1">
        <f>Anyag!A49</f>
        <v>157550</v>
      </c>
      <c r="E8" s="15">
        <f>Anyag!E49</f>
        <v>167750</v>
      </c>
      <c r="F8" s="424">
        <f t="shared" si="0"/>
        <v>470750</v>
      </c>
      <c r="G8" s="1">
        <f t="shared" si="1"/>
        <v>472550</v>
      </c>
      <c r="I8" s="2"/>
      <c r="K8" s="2"/>
    </row>
    <row r="9" spans="1:11" ht="15.5" x14ac:dyDescent="0.35">
      <c r="A9" s="4" t="s">
        <v>9</v>
      </c>
      <c r="B9" s="1">
        <f>Díj!A50</f>
        <v>467043</v>
      </c>
      <c r="C9" s="15">
        <f>Díj!H50</f>
        <v>454183</v>
      </c>
      <c r="D9" s="1">
        <f>Anyag!A70</f>
        <v>588736.4</v>
      </c>
      <c r="E9" s="15">
        <f>Anyag!E70</f>
        <v>603450</v>
      </c>
      <c r="F9" s="424">
        <f t="shared" si="0"/>
        <v>1057633</v>
      </c>
      <c r="G9" s="1">
        <f>D9+B9</f>
        <v>1055779.3999999999</v>
      </c>
      <c r="I9" s="2"/>
      <c r="K9" s="2"/>
    </row>
    <row r="10" spans="1:11" ht="15.5" x14ac:dyDescent="0.35">
      <c r="A10" s="4" t="s">
        <v>222</v>
      </c>
      <c r="B10" s="1">
        <f>Díj!A71</f>
        <v>0</v>
      </c>
      <c r="C10" s="15">
        <f>Díj!H71</f>
        <v>0</v>
      </c>
      <c r="D10" s="1">
        <f>Anyag!A88</f>
        <v>0</v>
      </c>
      <c r="E10" s="15">
        <f>Anyag!E88</f>
        <v>0</v>
      </c>
      <c r="F10" s="424">
        <f t="shared" si="0"/>
        <v>0</v>
      </c>
      <c r="G10" s="1">
        <f t="shared" si="1"/>
        <v>0</v>
      </c>
      <c r="I10" s="2"/>
      <c r="K10" s="2"/>
    </row>
    <row r="11" spans="1:11" ht="15.5" x14ac:dyDescent="0.35">
      <c r="A11" s="4" t="s">
        <v>10</v>
      </c>
      <c r="B11" s="1">
        <f>Díj!A85</f>
        <v>550746</v>
      </c>
      <c r="C11" s="15">
        <f>Díj!H85</f>
        <v>506011</v>
      </c>
      <c r="D11" s="1">
        <f>Anyag!A98</f>
        <v>153322.12</v>
      </c>
      <c r="E11" s="15">
        <f>Anyag!E98</f>
        <v>164164.35999999999</v>
      </c>
      <c r="F11" s="424">
        <f>E11+C11</f>
        <v>670175.36</v>
      </c>
      <c r="G11" s="1">
        <f t="shared" si="1"/>
        <v>704068.12</v>
      </c>
      <c r="I11" s="2"/>
      <c r="K11" s="2"/>
    </row>
    <row r="12" spans="1:11" ht="15.5" x14ac:dyDescent="0.35">
      <c r="A12" s="4" t="s">
        <v>78</v>
      </c>
      <c r="B12" s="1">
        <f>Díj!A106</f>
        <v>376901.14</v>
      </c>
      <c r="C12" s="15">
        <f>Díj!H106</f>
        <v>475085.54</v>
      </c>
      <c r="D12" s="1">
        <f>Anyag!A108</f>
        <v>175203.712</v>
      </c>
      <c r="E12" s="15">
        <f>Anyag!E108</f>
        <v>178000</v>
      </c>
      <c r="F12" s="424">
        <f>E12+C12</f>
        <v>653085.54</v>
      </c>
      <c r="G12" s="1">
        <f t="shared" si="1"/>
        <v>552104.85199999996</v>
      </c>
      <c r="I12" s="2"/>
      <c r="K12" s="2"/>
    </row>
    <row r="13" spans="1:11" ht="15.5" x14ac:dyDescent="0.35">
      <c r="A13" s="4" t="s">
        <v>11</v>
      </c>
      <c r="B13" s="1">
        <f>Díj!A135</f>
        <v>0</v>
      </c>
      <c r="C13" s="15">
        <f>Díj!H135</f>
        <v>3000</v>
      </c>
      <c r="D13" s="1">
        <f>Anyag!A127</f>
        <v>0</v>
      </c>
      <c r="E13" s="15">
        <f>Anyag!E127</f>
        <v>4000</v>
      </c>
      <c r="F13" s="424">
        <f t="shared" si="0"/>
        <v>7000</v>
      </c>
      <c r="G13" s="1">
        <f t="shared" si="1"/>
        <v>0</v>
      </c>
      <c r="I13" s="2"/>
      <c r="K13" s="2"/>
    </row>
    <row r="14" spans="1:11" ht="15.5" x14ac:dyDescent="0.35">
      <c r="A14" s="4" t="s">
        <v>12</v>
      </c>
      <c r="B14" s="1">
        <f>Díj!A143</f>
        <v>118000</v>
      </c>
      <c r="C14" s="15">
        <f>Díj!H143</f>
        <v>220200</v>
      </c>
      <c r="D14" s="1">
        <f>Anyag!A145</f>
        <v>0</v>
      </c>
      <c r="E14" s="15">
        <f>Anyag!E145</f>
        <v>0</v>
      </c>
      <c r="F14" s="424">
        <f t="shared" si="0"/>
        <v>220200</v>
      </c>
      <c r="G14" s="1">
        <f t="shared" si="1"/>
        <v>118000</v>
      </c>
      <c r="I14" s="2"/>
      <c r="K14" s="2"/>
    </row>
    <row r="15" spans="1:11" ht="15.5" x14ac:dyDescent="0.35">
      <c r="A15" s="4" t="s">
        <v>13</v>
      </c>
      <c r="B15" s="1">
        <f>Díj!A151</f>
        <v>0</v>
      </c>
      <c r="C15" s="15">
        <f>Díj!H151</f>
        <v>0</v>
      </c>
      <c r="D15" s="1">
        <f>Anyag!A163</f>
        <v>0</v>
      </c>
      <c r="E15" s="15">
        <f>Anyag!E163</f>
        <v>0</v>
      </c>
      <c r="F15" s="424">
        <f t="shared" si="0"/>
        <v>0</v>
      </c>
      <c r="G15" s="1">
        <f t="shared" si="1"/>
        <v>0</v>
      </c>
      <c r="I15" s="2"/>
      <c r="K15" s="2"/>
    </row>
    <row r="16" spans="1:11" ht="15.5" x14ac:dyDescent="0.35">
      <c r="A16" s="5" t="s">
        <v>30</v>
      </c>
      <c r="B16" s="1">
        <f>Díj!A155</f>
        <v>0</v>
      </c>
      <c r="C16" s="15">
        <f>Díj!H155</f>
        <v>0</v>
      </c>
      <c r="D16" s="1">
        <f>Anyag!A170</f>
        <v>0</v>
      </c>
      <c r="E16" s="15">
        <f>Anyag!E170</f>
        <v>0</v>
      </c>
      <c r="F16" s="424">
        <f>E16+C16</f>
        <v>0</v>
      </c>
      <c r="G16" s="1">
        <f t="shared" si="1"/>
        <v>0</v>
      </c>
      <c r="I16" s="2"/>
      <c r="K16" s="2"/>
    </row>
    <row r="17" spans="1:11" ht="15.5" x14ac:dyDescent="0.35">
      <c r="A17" s="4" t="s">
        <v>121</v>
      </c>
      <c r="B17" s="1">
        <f>Díj!A162</f>
        <v>287137.77777777775</v>
      </c>
      <c r="C17" s="15">
        <f>Díj!H162</f>
        <v>30000</v>
      </c>
      <c r="D17" s="1">
        <f>Anyag!A188</f>
        <v>24000</v>
      </c>
      <c r="E17" s="15">
        <f>Anyag!E188</f>
        <v>0</v>
      </c>
      <c r="F17" s="424">
        <f t="shared" si="0"/>
        <v>30000</v>
      </c>
      <c r="G17" s="1">
        <f t="shared" si="1"/>
        <v>311137.77777777775</v>
      </c>
      <c r="I17" s="2"/>
      <c r="K17" s="2"/>
    </row>
    <row r="18" spans="1:11" ht="15.5" x14ac:dyDescent="0.35">
      <c r="A18" s="4" t="s">
        <v>14</v>
      </c>
      <c r="B18" s="271">
        <f>Díj!A170</f>
        <v>23400</v>
      </c>
      <c r="C18" s="15">
        <f>Díj!H170</f>
        <v>171400</v>
      </c>
      <c r="D18" s="1">
        <f>Anyag!A205</f>
        <v>7200</v>
      </c>
      <c r="E18" s="15">
        <f>Anyag!E205</f>
        <v>86700</v>
      </c>
      <c r="F18" s="424">
        <f t="shared" si="0"/>
        <v>258100</v>
      </c>
      <c r="G18" s="1">
        <f t="shared" si="1"/>
        <v>30600</v>
      </c>
      <c r="I18" s="2"/>
      <c r="K18" s="2"/>
    </row>
    <row r="19" spans="1:11" ht="15.5" x14ac:dyDescent="0.35">
      <c r="A19" s="4" t="s">
        <v>15</v>
      </c>
      <c r="B19" s="16">
        <f>Díj!A191</f>
        <v>147634</v>
      </c>
      <c r="C19" s="15">
        <f>Díj!H191</f>
        <v>115400</v>
      </c>
      <c r="D19" s="16">
        <f>Anyag!A218</f>
        <v>35500</v>
      </c>
      <c r="E19" s="15">
        <f>Anyag!E218</f>
        <v>158500</v>
      </c>
      <c r="F19" s="424">
        <f t="shared" si="0"/>
        <v>273900</v>
      </c>
      <c r="G19" s="1">
        <f t="shared" si="1"/>
        <v>183134</v>
      </c>
      <c r="I19" s="2"/>
      <c r="K19" s="2"/>
    </row>
    <row r="20" spans="1:11" ht="46.5" x14ac:dyDescent="0.35">
      <c r="A20" s="313" t="s">
        <v>184</v>
      </c>
      <c r="B20" s="204"/>
      <c r="C20" s="205"/>
      <c r="D20" s="204"/>
      <c r="E20" s="205"/>
      <c r="F20" s="206"/>
      <c r="G20" s="246" t="s">
        <v>232</v>
      </c>
    </row>
    <row r="21" spans="1:11" s="63" customFormat="1" ht="47" thickBot="1" x14ac:dyDescent="0.4">
      <c r="A21" s="222" t="s">
        <v>154</v>
      </c>
      <c r="B21" s="223">
        <f>B22*0.1</f>
        <v>271716.1917777778</v>
      </c>
      <c r="C21" s="224">
        <v>0</v>
      </c>
      <c r="D21" s="223">
        <f>D22*0.2</f>
        <v>279882.44640000002</v>
      </c>
      <c r="E21" s="224">
        <v>0</v>
      </c>
      <c r="F21" s="223">
        <f>SUM(B21,D21)</f>
        <v>551598.63817777787</v>
      </c>
      <c r="G21" s="216" t="s">
        <v>162</v>
      </c>
    </row>
    <row r="22" spans="1:11" s="63" customFormat="1" ht="31" x14ac:dyDescent="0.35">
      <c r="A22" s="7"/>
      <c r="B22" s="208">
        <f>SUM(B5:B19)</f>
        <v>2717161.9177777776</v>
      </c>
      <c r="C22" s="209">
        <f>SUM(C5:C20)</f>
        <v>2614029.54</v>
      </c>
      <c r="D22" s="208">
        <f>SUM(D5:D20)</f>
        <v>1399412.2320000001</v>
      </c>
      <c r="E22" s="213">
        <f>SUM(E5:E19)</f>
        <v>1573664.3599999999</v>
      </c>
      <c r="F22" s="215">
        <f>SUM(C22,E22)</f>
        <v>4187693.9</v>
      </c>
      <c r="G22" s="216" t="s">
        <v>334</v>
      </c>
      <c r="I22" s="583"/>
    </row>
    <row r="23" spans="1:11" s="63" customFormat="1" ht="31" x14ac:dyDescent="0.35">
      <c r="A23" s="210"/>
      <c r="B23" s="211" t="s">
        <v>67</v>
      </c>
      <c r="C23" s="212" t="s">
        <v>59</v>
      </c>
      <c r="D23" s="211" t="s">
        <v>67</v>
      </c>
      <c r="E23" s="214" t="s">
        <v>59</v>
      </c>
      <c r="F23" s="217">
        <f>SUM(B22,D22)</f>
        <v>4116574.1497777775</v>
      </c>
      <c r="G23" s="216" t="s">
        <v>335</v>
      </c>
      <c r="K23" s="437"/>
    </row>
    <row r="24" spans="1:11" s="63" customFormat="1" ht="19.25" customHeight="1" thickBot="1" x14ac:dyDescent="0.4">
      <c r="A24" s="34" t="s">
        <v>97</v>
      </c>
      <c r="B24" s="640" t="s">
        <v>258</v>
      </c>
      <c r="C24" s="641"/>
      <c r="D24" s="642" t="s">
        <v>257</v>
      </c>
      <c r="E24" s="643"/>
      <c r="F24" s="218"/>
      <c r="G24" s="219" t="s">
        <v>188</v>
      </c>
    </row>
    <row r="25" spans="1:11" ht="44" x14ac:dyDescent="0.35">
      <c r="A25" s="55" t="s">
        <v>96</v>
      </c>
      <c r="D25" s="207"/>
      <c r="E25" s="207"/>
      <c r="F25" s="207"/>
    </row>
    <row r="26" spans="1:11" ht="161" thickBot="1" x14ac:dyDescent="0.55000000000000004">
      <c r="A26" s="51" t="s">
        <v>213</v>
      </c>
      <c r="B26" s="8" t="s">
        <v>52</v>
      </c>
      <c r="C26" s="8" t="s">
        <v>53</v>
      </c>
      <c r="D26" s="8" t="s">
        <v>159</v>
      </c>
      <c r="E26" s="220" t="s">
        <v>62</v>
      </c>
    </row>
    <row r="27" spans="1:11" ht="18" thickTop="1" thickBot="1" x14ac:dyDescent="0.4">
      <c r="A27" s="51"/>
      <c r="B27" s="255">
        <f>SUM(B28:B57)</f>
        <v>4117123.35</v>
      </c>
      <c r="C27" s="254"/>
      <c r="D27" s="254"/>
      <c r="E27" s="620">
        <f>F22-B27</f>
        <v>70570.549999999814</v>
      </c>
    </row>
    <row r="28" spans="1:11" ht="14.75" customHeight="1" thickTop="1" x14ac:dyDescent="0.35">
      <c r="A28" s="221" t="s">
        <v>241</v>
      </c>
      <c r="B28" s="2">
        <v>200000</v>
      </c>
      <c r="C28" s="257"/>
      <c r="D28" s="38"/>
    </row>
    <row r="29" spans="1:11" x14ac:dyDescent="0.35">
      <c r="A29" s="221" t="s">
        <v>240</v>
      </c>
      <c r="B29" s="2">
        <v>200000</v>
      </c>
      <c r="C29" s="257">
        <v>44929</v>
      </c>
      <c r="D29" s="38"/>
    </row>
    <row r="30" spans="1:11" ht="15" thickBot="1" x14ac:dyDescent="0.4">
      <c r="A30">
        <v>3</v>
      </c>
      <c r="B30" s="2">
        <v>314650</v>
      </c>
      <c r="C30" s="257">
        <v>44935</v>
      </c>
      <c r="D30" s="38"/>
      <c r="H30" s="555"/>
    </row>
    <row r="31" spans="1:11" ht="18" thickTop="1" thickBot="1" x14ac:dyDescent="0.4">
      <c r="A31">
        <v>4</v>
      </c>
      <c r="B31" s="439">
        <v>194790</v>
      </c>
      <c r="C31" s="257">
        <v>44943</v>
      </c>
      <c r="D31" s="38"/>
      <c r="F31" s="524"/>
      <c r="H31" s="555"/>
    </row>
    <row r="32" spans="1:11" ht="18" thickTop="1" thickBot="1" x14ac:dyDescent="0.4">
      <c r="A32">
        <v>5</v>
      </c>
      <c r="B32" s="442">
        <v>233800</v>
      </c>
      <c r="C32" s="258">
        <v>44949</v>
      </c>
      <c r="D32" s="38"/>
      <c r="H32" s="555"/>
    </row>
    <row r="33" spans="1:9" ht="18" thickTop="1" thickBot="1" x14ac:dyDescent="0.4">
      <c r="A33">
        <v>6</v>
      </c>
      <c r="B33" s="451">
        <v>508010</v>
      </c>
      <c r="C33" s="258">
        <v>44957</v>
      </c>
      <c r="D33" s="38"/>
      <c r="H33" s="555"/>
    </row>
    <row r="34" spans="1:9" ht="18" thickTop="1" thickBot="1" x14ac:dyDescent="0.4">
      <c r="A34">
        <v>7</v>
      </c>
      <c r="B34" s="458">
        <v>100000</v>
      </c>
      <c r="C34" s="258">
        <v>44960</v>
      </c>
      <c r="D34" s="258" t="s">
        <v>347</v>
      </c>
      <c r="I34" s="207"/>
    </row>
    <row r="35" spans="1:9" ht="18" thickTop="1" thickBot="1" x14ac:dyDescent="0.4">
      <c r="A35">
        <v>8</v>
      </c>
      <c r="B35" s="458">
        <v>150000</v>
      </c>
      <c r="C35" s="258">
        <v>44965</v>
      </c>
      <c r="D35" s="38"/>
      <c r="I35" s="207"/>
    </row>
    <row r="36" spans="1:9" ht="18" thickTop="1" thickBot="1" x14ac:dyDescent="0.4">
      <c r="A36">
        <v>9</v>
      </c>
      <c r="B36" s="458">
        <v>50000</v>
      </c>
      <c r="C36" s="258">
        <v>44965</v>
      </c>
      <c r="D36" s="38"/>
      <c r="E36" s="256"/>
    </row>
    <row r="37" spans="1:9" ht="18" thickTop="1" thickBot="1" x14ac:dyDescent="0.4">
      <c r="A37">
        <v>10</v>
      </c>
      <c r="B37" s="458">
        <v>234076</v>
      </c>
      <c r="C37" s="258">
        <v>44965</v>
      </c>
      <c r="D37" s="38"/>
    </row>
    <row r="38" spans="1:9" ht="18" thickTop="1" thickBot="1" x14ac:dyDescent="0.4">
      <c r="A38">
        <v>11</v>
      </c>
      <c r="B38" s="479">
        <v>183369.12999999989</v>
      </c>
      <c r="C38" s="258">
        <v>44973</v>
      </c>
      <c r="D38" s="38"/>
    </row>
    <row r="39" spans="1:9" ht="18" thickTop="1" thickBot="1" x14ac:dyDescent="0.4">
      <c r="A39">
        <v>12</v>
      </c>
      <c r="B39" s="485">
        <v>296794.98</v>
      </c>
      <c r="C39" s="258">
        <v>44980</v>
      </c>
      <c r="D39" s="38"/>
    </row>
    <row r="40" spans="1:9" ht="18" thickTop="1" thickBot="1" x14ac:dyDescent="0.4">
      <c r="A40">
        <v>13</v>
      </c>
      <c r="B40" s="507">
        <v>182645.23999999976</v>
      </c>
      <c r="C40" s="258">
        <v>44993</v>
      </c>
      <c r="D40" s="38"/>
    </row>
    <row r="41" spans="1:9" ht="18" thickTop="1" thickBot="1" x14ac:dyDescent="0.4">
      <c r="A41">
        <v>14</v>
      </c>
      <c r="B41" s="509">
        <v>234165.00000000047</v>
      </c>
      <c r="C41" s="258">
        <v>45000</v>
      </c>
      <c r="D41" s="38"/>
    </row>
    <row r="42" spans="1:9" ht="15" thickTop="1" x14ac:dyDescent="0.35">
      <c r="A42">
        <v>15</v>
      </c>
      <c r="B42" s="2">
        <v>20000</v>
      </c>
      <c r="C42" s="258">
        <v>45008</v>
      </c>
      <c r="D42" s="38"/>
    </row>
    <row r="43" spans="1:9" ht="15" thickBot="1" x14ac:dyDescent="0.4">
      <c r="A43">
        <v>16</v>
      </c>
      <c r="B43" s="2">
        <v>9000</v>
      </c>
      <c r="C43" s="258">
        <v>45006</v>
      </c>
      <c r="D43" s="38"/>
      <c r="E43" t="s">
        <v>372</v>
      </c>
    </row>
    <row r="44" spans="1:9" ht="18" thickTop="1" thickBot="1" x14ac:dyDescent="0.4">
      <c r="B44" s="525">
        <v>177032</v>
      </c>
      <c r="C44" s="258">
        <v>45008</v>
      </c>
    </row>
    <row r="45" spans="1:9" ht="18" thickTop="1" thickBot="1" x14ac:dyDescent="0.4">
      <c r="B45" s="536">
        <v>177150</v>
      </c>
      <c r="C45" s="258">
        <v>45016</v>
      </c>
    </row>
    <row r="46" spans="1:9" ht="15.5" thickTop="1" thickBot="1" x14ac:dyDescent="0.4">
      <c r="B46" s="2">
        <v>6480</v>
      </c>
      <c r="C46" s="258">
        <v>45017</v>
      </c>
    </row>
    <row r="47" spans="1:9" ht="18" thickTop="1" thickBot="1" x14ac:dyDescent="0.4">
      <c r="B47" s="563">
        <v>152969</v>
      </c>
      <c r="C47" s="258">
        <v>45021</v>
      </c>
    </row>
    <row r="48" spans="1:9" ht="15" thickTop="1" x14ac:dyDescent="0.35">
      <c r="B48" s="2">
        <v>20000</v>
      </c>
      <c r="C48" s="258">
        <v>45033</v>
      </c>
    </row>
    <row r="49" spans="2:3" x14ac:dyDescent="0.35">
      <c r="B49" s="2">
        <v>60000</v>
      </c>
      <c r="C49" s="258">
        <v>45035</v>
      </c>
    </row>
    <row r="50" spans="2:3" ht="15" thickBot="1" x14ac:dyDescent="0.4">
      <c r="B50" s="2">
        <v>30000</v>
      </c>
      <c r="C50" s="258">
        <v>45036</v>
      </c>
    </row>
    <row r="51" spans="2:3" ht="18" thickTop="1" thickBot="1" x14ac:dyDescent="0.4">
      <c r="B51" s="604">
        <v>102192</v>
      </c>
      <c r="C51" s="258">
        <v>45039</v>
      </c>
    </row>
    <row r="52" spans="2:3" ht="15" thickTop="1" x14ac:dyDescent="0.35">
      <c r="B52" s="2">
        <v>30000</v>
      </c>
      <c r="C52" s="258">
        <v>45052</v>
      </c>
    </row>
    <row r="53" spans="2:3" x14ac:dyDescent="0.35">
      <c r="B53" s="638">
        <v>150000</v>
      </c>
      <c r="C53" t="s">
        <v>393</v>
      </c>
    </row>
    <row r="54" spans="2:3" x14ac:dyDescent="0.35">
      <c r="B54" s="638">
        <v>50000</v>
      </c>
    </row>
    <row r="55" spans="2:3" x14ac:dyDescent="0.35">
      <c r="B55" s="638">
        <v>50000</v>
      </c>
    </row>
  </sheetData>
  <mergeCells count="5">
    <mergeCell ref="B3:D3"/>
    <mergeCell ref="B24:C24"/>
    <mergeCell ref="D24:E24"/>
    <mergeCell ref="D1:E1"/>
    <mergeCell ref="D2:E2"/>
  </mergeCells>
  <hyperlinks>
    <hyperlink ref="A25" r:id="rId1" xr:uid="{00000000-0004-0000-0000-000000000000}"/>
    <hyperlink ref="G20" r:id="rId2" xr:uid="{00000000-0004-0000-0000-000001000000}"/>
  </hyperlinks>
  <pageMargins left="0.19685039370078741" right="0.19685039370078741" top="0.74803149606299213" bottom="0.27559055118110237" header="0.31496062992125984" footer="0.19685039370078741"/>
  <pageSetup paperSize="9" scale="75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5"/>
  <sheetViews>
    <sheetView zoomScale="121" zoomScaleNormal="53" workbookViewId="0">
      <selection activeCell="A3" sqref="A3"/>
    </sheetView>
  </sheetViews>
  <sheetFormatPr defaultColWidth="9.08984375" defaultRowHeight="22" outlineLevelRow="1" x14ac:dyDescent="0.35"/>
  <cols>
    <col min="1" max="1" width="35" style="73" customWidth="1"/>
    <col min="2" max="2" width="19.08984375" style="40" customWidth="1"/>
    <col min="3" max="3" width="21.36328125" style="84" bestFit="1" customWidth="1"/>
    <col min="4" max="4" width="4.1796875" style="40" customWidth="1"/>
    <col min="5" max="5" width="11.81640625" style="40" bestFit="1" customWidth="1"/>
    <col min="6" max="6" width="20.36328125" style="40" customWidth="1"/>
    <col min="7" max="7" width="22.1796875" style="84" bestFit="1" customWidth="1"/>
    <col min="8" max="8" width="13" style="156" customWidth="1"/>
    <col min="9" max="9" width="2.1796875" style="235" customWidth="1"/>
    <col min="10" max="10" width="8.453125" style="287" customWidth="1"/>
    <col min="11" max="11" width="38.54296875" style="40" customWidth="1"/>
    <col min="12" max="12" width="12.81640625" style="40" customWidth="1"/>
    <col min="13" max="13" width="17" style="40" customWidth="1"/>
    <col min="14" max="14" width="13" style="40" customWidth="1"/>
    <col min="15" max="15" width="24.36328125" style="40" customWidth="1"/>
    <col min="16" max="16" width="31.36328125" style="40" customWidth="1"/>
    <col min="17" max="18" width="9.08984375" style="40" customWidth="1"/>
    <col min="19" max="16384" width="9.08984375" style="40"/>
  </cols>
  <sheetData>
    <row r="1" spans="1:18" s="142" customFormat="1" ht="35.25" customHeight="1" x14ac:dyDescent="0.35">
      <c r="A1" s="139" t="s">
        <v>16</v>
      </c>
      <c r="B1" s="182"/>
      <c r="C1" s="141"/>
      <c r="D1" s="140"/>
      <c r="E1" s="140"/>
      <c r="F1" s="140"/>
      <c r="G1" s="84"/>
      <c r="H1" s="279"/>
      <c r="I1" s="235"/>
      <c r="J1" s="285"/>
    </row>
    <row r="2" spans="1:18" s="142" customFormat="1" x14ac:dyDescent="0.35">
      <c r="A2" s="180" t="s">
        <v>395</v>
      </c>
      <c r="B2" s="180"/>
      <c r="C2" s="141"/>
      <c r="D2" s="143" t="s">
        <v>269</v>
      </c>
      <c r="G2" s="84"/>
      <c r="H2" s="156"/>
      <c r="I2" s="235"/>
      <c r="J2" s="285"/>
    </row>
    <row r="3" spans="1:18" s="142" customFormat="1" ht="18.75" customHeight="1" x14ac:dyDescent="0.35">
      <c r="A3" s="181" t="s">
        <v>394</v>
      </c>
      <c r="B3" s="181"/>
      <c r="C3" s="141"/>
      <c r="D3" s="143" t="s">
        <v>66</v>
      </c>
      <c r="G3" s="84"/>
      <c r="H3" s="156"/>
      <c r="I3" s="235"/>
      <c r="J3" s="285"/>
    </row>
    <row r="4" spans="1:18" s="142" customFormat="1" x14ac:dyDescent="0.35">
      <c r="A4" s="648" t="s">
        <v>163</v>
      </c>
      <c r="B4" s="648"/>
      <c r="C4" s="648"/>
      <c r="D4" s="143" t="s">
        <v>149</v>
      </c>
      <c r="G4" s="84"/>
      <c r="H4" s="156"/>
      <c r="I4" s="235"/>
      <c r="J4" s="285"/>
    </row>
    <row r="5" spans="1:18" s="142" customFormat="1" ht="29" x14ac:dyDescent="0.35">
      <c r="A5" s="239" t="s">
        <v>64</v>
      </c>
      <c r="B5" s="144"/>
      <c r="C5" s="141"/>
      <c r="G5" s="84"/>
      <c r="H5" s="651" t="s">
        <v>151</v>
      </c>
      <c r="I5" s="235"/>
      <c r="J5" s="285"/>
    </row>
    <row r="6" spans="1:18" s="142" customFormat="1" x14ac:dyDescent="0.35">
      <c r="A6" s="240" t="s">
        <v>117</v>
      </c>
      <c r="B6" s="145"/>
      <c r="C6" s="141"/>
      <c r="G6" s="84"/>
      <c r="H6" s="651"/>
      <c r="I6" s="235"/>
      <c r="J6" s="286"/>
    </row>
    <row r="7" spans="1:18" s="147" customFormat="1" ht="96" customHeight="1" x14ac:dyDescent="0.95">
      <c r="A7" s="646" t="s">
        <v>152</v>
      </c>
      <c r="B7" s="647"/>
      <c r="C7" s="647"/>
      <c r="D7" s="647"/>
      <c r="E7" s="647"/>
      <c r="F7" s="146"/>
      <c r="G7" s="87"/>
      <c r="H7" s="651"/>
      <c r="I7" s="282"/>
      <c r="J7" s="649">
        <f>SUM(J10:J207)</f>
        <v>0</v>
      </c>
      <c r="K7" s="649"/>
      <c r="L7" s="649"/>
      <c r="M7" s="436"/>
    </row>
    <row r="8" spans="1:18" s="142" customFormat="1" ht="67.25" customHeight="1" thickBot="1" x14ac:dyDescent="0.7">
      <c r="A8" s="148" t="s">
        <v>0</v>
      </c>
      <c r="B8" s="149" t="s">
        <v>1</v>
      </c>
      <c r="C8" s="151" t="s">
        <v>141</v>
      </c>
      <c r="D8" s="149"/>
      <c r="E8" s="150" t="s">
        <v>3</v>
      </c>
      <c r="F8" s="152" t="s">
        <v>165</v>
      </c>
      <c r="G8" s="90" t="s">
        <v>191</v>
      </c>
      <c r="H8" s="280" t="s">
        <v>192</v>
      </c>
      <c r="I8" s="235"/>
      <c r="J8" s="650" t="s">
        <v>190</v>
      </c>
      <c r="K8" s="650"/>
      <c r="L8" s="650"/>
    </row>
    <row r="9" spans="1:18" ht="22.5" thickBot="1" x14ac:dyDescent="0.4">
      <c r="A9" s="59">
        <f>SUM(F10:F17)</f>
        <v>122800</v>
      </c>
      <c r="B9" s="60" t="s">
        <v>4</v>
      </c>
      <c r="C9" s="160" t="s">
        <v>5</v>
      </c>
      <c r="D9" s="61"/>
      <c r="E9" s="62">
        <f>SUM(E10:E18)</f>
        <v>122800</v>
      </c>
      <c r="F9" s="91">
        <f>SUM(F10:F18)</f>
        <v>122800</v>
      </c>
      <c r="G9" s="291" t="s">
        <v>143</v>
      </c>
      <c r="H9" s="153">
        <f>SUM(H10:H18)</f>
        <v>24000</v>
      </c>
      <c r="K9" s="237" t="s">
        <v>289</v>
      </c>
      <c r="L9" s="238" t="s">
        <v>47</v>
      </c>
      <c r="M9" s="93" t="s">
        <v>48</v>
      </c>
      <c r="N9" s="93" t="s">
        <v>49</v>
      </c>
      <c r="O9" s="94" t="s">
        <v>50</v>
      </c>
      <c r="P9" s="95" t="s">
        <v>80</v>
      </c>
    </row>
    <row r="10" spans="1:18" x14ac:dyDescent="0.35">
      <c r="A10" s="172" t="s">
        <v>195</v>
      </c>
      <c r="B10" s="173">
        <v>2640</v>
      </c>
      <c r="C10" s="106"/>
      <c r="D10" s="47">
        <v>1</v>
      </c>
      <c r="E10" s="46">
        <f>C10*B10*D10</f>
        <v>0</v>
      </c>
      <c r="F10" s="64">
        <f t="shared" ref="F10:F15" si="0">E10</f>
        <v>0</v>
      </c>
      <c r="G10" s="137"/>
      <c r="J10" s="288">
        <f t="shared" ref="J10:J16" si="1">(G10*B10*D10)</f>
        <v>0</v>
      </c>
      <c r="K10" s="176">
        <f>G10</f>
        <v>0</v>
      </c>
      <c r="L10" s="97">
        <v>6</v>
      </c>
      <c r="M10" s="98">
        <f>K10*L10*10</f>
        <v>0</v>
      </c>
      <c r="N10" s="99">
        <f>M10*1.6</f>
        <v>0</v>
      </c>
      <c r="O10" s="100">
        <f>N10/25</f>
        <v>0</v>
      </c>
      <c r="P10" s="101">
        <v>2</v>
      </c>
    </row>
    <row r="11" spans="1:18" x14ac:dyDescent="0.35">
      <c r="A11" s="174" t="s">
        <v>261</v>
      </c>
      <c r="B11" s="173">
        <v>3600</v>
      </c>
      <c r="C11" s="137">
        <v>12</v>
      </c>
      <c r="D11" s="47">
        <v>1</v>
      </c>
      <c r="E11" s="46">
        <f t="shared" ref="E11:E17" si="2">C11*B11</f>
        <v>43200</v>
      </c>
      <c r="F11" s="64">
        <f t="shared" si="0"/>
        <v>43200</v>
      </c>
      <c r="G11" s="137">
        <f>C11</f>
        <v>12</v>
      </c>
      <c r="J11" s="288"/>
      <c r="K11" s="102"/>
      <c r="L11" s="102"/>
      <c r="M11" s="58" t="s">
        <v>81</v>
      </c>
      <c r="N11" s="58"/>
      <c r="O11" s="58"/>
      <c r="P11" s="101">
        <f>O10/27</f>
        <v>0</v>
      </c>
    </row>
    <row r="12" spans="1:18" ht="46.5" x14ac:dyDescent="0.35">
      <c r="A12" s="174" t="s">
        <v>164</v>
      </c>
      <c r="B12" s="173">
        <v>3000</v>
      </c>
      <c r="C12" s="103">
        <v>10</v>
      </c>
      <c r="D12" s="47">
        <v>1</v>
      </c>
      <c r="E12" s="46">
        <f t="shared" si="2"/>
        <v>30000</v>
      </c>
      <c r="F12" s="64">
        <f t="shared" si="0"/>
        <v>30000</v>
      </c>
      <c r="G12" s="103">
        <f>C12</f>
        <v>10</v>
      </c>
      <c r="J12" s="288"/>
      <c r="K12" s="104" t="str">
        <f>A11</f>
        <v>fal bontása</v>
      </c>
      <c r="L12" s="92" t="s">
        <v>47</v>
      </c>
      <c r="M12" s="93" t="s">
        <v>48</v>
      </c>
      <c r="N12" s="93" t="s">
        <v>49</v>
      </c>
      <c r="O12" s="94" t="s">
        <v>50</v>
      </c>
      <c r="P12" s="95" t="s">
        <v>80</v>
      </c>
      <c r="Q12" s="105"/>
      <c r="R12" s="105"/>
    </row>
    <row r="13" spans="1:18" x14ac:dyDescent="0.35">
      <c r="A13" s="174" t="s">
        <v>217</v>
      </c>
      <c r="B13" s="173">
        <v>3000</v>
      </c>
      <c r="C13" s="168"/>
      <c r="D13" s="47">
        <v>1</v>
      </c>
      <c r="E13" s="46">
        <f t="shared" si="2"/>
        <v>0</v>
      </c>
      <c r="F13" s="64">
        <f t="shared" si="0"/>
        <v>0</v>
      </c>
      <c r="G13" s="168">
        <f>C13</f>
        <v>0</v>
      </c>
      <c r="J13" s="288">
        <f t="shared" si="1"/>
        <v>0</v>
      </c>
      <c r="K13" s="96">
        <f>C11</f>
        <v>12</v>
      </c>
      <c r="L13" s="97">
        <v>12</v>
      </c>
      <c r="M13" s="98">
        <f>K13*L13*10</f>
        <v>1440</v>
      </c>
      <c r="N13" s="99">
        <f>M13*1.6</f>
        <v>2304</v>
      </c>
      <c r="O13" s="100">
        <f>N13/25</f>
        <v>92.16</v>
      </c>
      <c r="P13" s="101">
        <f>(M13*2.3)/1000</f>
        <v>3.3119999999999994</v>
      </c>
      <c r="Q13" s="107"/>
      <c r="R13" s="108"/>
    </row>
    <row r="14" spans="1:18" x14ac:dyDescent="0.35">
      <c r="A14" s="174" t="s">
        <v>287</v>
      </c>
      <c r="B14" s="173">
        <v>1200</v>
      </c>
      <c r="C14" s="178">
        <v>20</v>
      </c>
      <c r="D14" s="47">
        <v>1</v>
      </c>
      <c r="E14" s="46">
        <f t="shared" si="2"/>
        <v>24000</v>
      </c>
      <c r="F14" s="64">
        <f t="shared" si="0"/>
        <v>24000</v>
      </c>
      <c r="G14" s="542">
        <v>20</v>
      </c>
      <c r="H14" s="539">
        <f>(G14*B14*D14)</f>
        <v>24000</v>
      </c>
      <c r="K14" s="102"/>
      <c r="L14" s="102"/>
      <c r="M14" s="58" t="s">
        <v>81</v>
      </c>
      <c r="N14" s="58"/>
      <c r="O14" s="58"/>
      <c r="P14" s="101">
        <f>O13/27</f>
        <v>3.4133333333333331</v>
      </c>
      <c r="Q14" s="58"/>
      <c r="R14" s="58"/>
    </row>
    <row r="15" spans="1:18" ht="29" customHeight="1" x14ac:dyDescent="0.35">
      <c r="A15" s="174" t="s">
        <v>328</v>
      </c>
      <c r="B15" s="173">
        <v>1200</v>
      </c>
      <c r="C15" s="168">
        <v>13</v>
      </c>
      <c r="D15" s="42">
        <v>1</v>
      </c>
      <c r="E15" s="41">
        <f t="shared" si="2"/>
        <v>15600</v>
      </c>
      <c r="F15" s="64">
        <f t="shared" si="0"/>
        <v>15600</v>
      </c>
      <c r="G15" s="168">
        <f>C15</f>
        <v>13</v>
      </c>
      <c r="J15" s="288"/>
      <c r="K15" s="104" t="str">
        <f>A15</f>
        <v xml:space="preserve"> csempe bontása mondjuk</v>
      </c>
      <c r="L15" s="92" t="s">
        <v>47</v>
      </c>
      <c r="M15" s="93" t="s">
        <v>48</v>
      </c>
      <c r="N15" s="93" t="s">
        <v>49</v>
      </c>
      <c r="O15" s="94" t="s">
        <v>50</v>
      </c>
      <c r="P15" s="95" t="s">
        <v>80</v>
      </c>
    </row>
    <row r="16" spans="1:18" x14ac:dyDescent="0.35">
      <c r="A16" s="175" t="s">
        <v>218</v>
      </c>
      <c r="B16" s="173">
        <v>1820</v>
      </c>
      <c r="C16" s="178"/>
      <c r="D16" s="42">
        <v>1</v>
      </c>
      <c r="E16" s="41">
        <f t="shared" si="2"/>
        <v>0</v>
      </c>
      <c r="F16" s="64">
        <f>E16</f>
        <v>0</v>
      </c>
      <c r="G16" s="178">
        <v>0</v>
      </c>
      <c r="J16" s="288">
        <f t="shared" si="1"/>
        <v>0</v>
      </c>
      <c r="K16" s="176">
        <f>C15</f>
        <v>13</v>
      </c>
      <c r="L16" s="97">
        <v>1.5</v>
      </c>
      <c r="M16" s="98">
        <f>K16*L16*10</f>
        <v>195</v>
      </c>
      <c r="N16" s="99">
        <f>M16*1.6</f>
        <v>312</v>
      </c>
      <c r="O16" s="100">
        <f>N16/25</f>
        <v>12.48</v>
      </c>
      <c r="P16" s="101">
        <f>(M16*2.3)/1000</f>
        <v>0.44849999999999995</v>
      </c>
    </row>
    <row r="17" spans="1:16" x14ac:dyDescent="0.35">
      <c r="A17" s="175" t="s">
        <v>288</v>
      </c>
      <c r="B17" s="173">
        <v>10000</v>
      </c>
      <c r="C17" s="103">
        <v>1</v>
      </c>
      <c r="D17" s="42">
        <v>1</v>
      </c>
      <c r="E17" s="41">
        <f t="shared" si="2"/>
        <v>10000</v>
      </c>
      <c r="F17" s="64">
        <f>E17</f>
        <v>10000</v>
      </c>
      <c r="G17" s="103">
        <f>C17</f>
        <v>1</v>
      </c>
      <c r="J17" s="288"/>
      <c r="K17" s="102"/>
      <c r="L17" s="102"/>
      <c r="M17" s="58" t="s">
        <v>81</v>
      </c>
      <c r="N17" s="58"/>
      <c r="O17" s="58"/>
      <c r="P17" s="101">
        <f>O16/27</f>
        <v>0.46222222222222226</v>
      </c>
    </row>
    <row r="18" spans="1:16" ht="22.5" thickBot="1" x14ac:dyDescent="0.4">
      <c r="A18" s="175"/>
      <c r="B18" s="173" t="s">
        <v>329</v>
      </c>
      <c r="C18" s="106"/>
      <c r="D18" s="42"/>
      <c r="E18" s="41"/>
      <c r="F18" s="64"/>
      <c r="G18" s="106"/>
      <c r="J18" s="288"/>
      <c r="K18" s="102"/>
      <c r="L18" s="102"/>
      <c r="M18" s="102"/>
      <c r="N18" s="102"/>
      <c r="O18" s="102"/>
      <c r="P18" s="102"/>
    </row>
    <row r="19" spans="1:16" ht="149.5" thickBot="1" x14ac:dyDescent="0.7">
      <c r="A19" s="179" t="s">
        <v>187</v>
      </c>
      <c r="B19" s="17" t="s">
        <v>1</v>
      </c>
      <c r="C19" s="151" t="s">
        <v>141</v>
      </c>
      <c r="D19" s="17"/>
      <c r="E19" s="9" t="s">
        <v>3</v>
      </c>
      <c r="F19" s="177" t="s">
        <v>165</v>
      </c>
      <c r="G19" s="90" t="s">
        <v>142</v>
      </c>
      <c r="H19" s="155"/>
      <c r="O19" s="109" t="s">
        <v>120</v>
      </c>
      <c r="P19" s="110">
        <f>SUM(P10,P14)+P29+P32+P17</f>
        <v>5.8755555555555556</v>
      </c>
    </row>
    <row r="20" spans="1:16" ht="22.5" thickBot="1" x14ac:dyDescent="0.4">
      <c r="A20" s="59">
        <f>SUM(E21:E25)</f>
        <v>13000</v>
      </c>
      <c r="B20" s="61" t="s">
        <v>4</v>
      </c>
      <c r="C20" s="160" t="s">
        <v>5</v>
      </c>
      <c r="D20" s="61"/>
      <c r="E20" s="62">
        <f>SUM(E21:E25)</f>
        <v>13000</v>
      </c>
      <c r="F20" s="91">
        <f>SUM(F21:F28)</f>
        <v>328000</v>
      </c>
      <c r="G20" s="291" t="s">
        <v>143</v>
      </c>
      <c r="H20" s="153">
        <f>SUM(H21)</f>
        <v>13000</v>
      </c>
      <c r="O20" s="102" t="s">
        <v>83</v>
      </c>
      <c r="P20" s="111">
        <f>P19*27</f>
        <v>158.64000000000001</v>
      </c>
    </row>
    <row r="21" spans="1:16" ht="31" x14ac:dyDescent="0.35">
      <c r="A21" s="43" t="s">
        <v>293</v>
      </c>
      <c r="B21" s="173">
        <v>13000</v>
      </c>
      <c r="C21" s="103">
        <v>1</v>
      </c>
      <c r="D21" s="42">
        <v>1</v>
      </c>
      <c r="E21" s="46">
        <f>C21*B21</f>
        <v>13000</v>
      </c>
      <c r="F21" s="64">
        <f>E21</f>
        <v>13000</v>
      </c>
      <c r="G21" s="541">
        <f>C21</f>
        <v>1</v>
      </c>
      <c r="H21" s="539">
        <f>(G21*B21*D21)</f>
        <v>13000</v>
      </c>
    </row>
    <row r="22" spans="1:16" ht="36" hidden="1" customHeight="1" outlineLevel="1" x14ac:dyDescent="0.35">
      <c r="A22" s="43" t="s">
        <v>196</v>
      </c>
      <c r="B22" s="173">
        <v>32500</v>
      </c>
      <c r="C22" s="103"/>
      <c r="D22" s="42">
        <v>1</v>
      </c>
      <c r="E22" s="41">
        <f>B22*C22</f>
        <v>0</v>
      </c>
      <c r="F22" s="64">
        <f>E22</f>
        <v>0</v>
      </c>
      <c r="G22" s="103">
        <f>C22</f>
        <v>0</v>
      </c>
      <c r="H22" s="154"/>
      <c r="J22" s="288">
        <f>(G22*B22*D22)</f>
        <v>0</v>
      </c>
    </row>
    <row r="23" spans="1:16" hidden="1" outlineLevel="1" x14ac:dyDescent="0.35">
      <c r="A23" s="45" t="s">
        <v>214</v>
      </c>
      <c r="B23" s="173">
        <v>9100</v>
      </c>
      <c r="C23" s="103"/>
      <c r="D23" s="42">
        <v>1</v>
      </c>
      <c r="E23" s="41">
        <f>B23*C23</f>
        <v>0</v>
      </c>
      <c r="F23" s="64">
        <f>E23</f>
        <v>0</v>
      </c>
      <c r="G23" s="103">
        <f>C23</f>
        <v>0</v>
      </c>
      <c r="H23" s="154"/>
      <c r="J23" s="288">
        <f>(G23*B23*D23)</f>
        <v>0</v>
      </c>
    </row>
    <row r="24" spans="1:16" hidden="1" outlineLevel="1" x14ac:dyDescent="0.35">
      <c r="A24" s="45" t="s">
        <v>197</v>
      </c>
      <c r="B24" s="173">
        <v>39000</v>
      </c>
      <c r="C24" s="103"/>
      <c r="D24" s="42">
        <v>1</v>
      </c>
      <c r="E24" s="41">
        <f>B24*C24</f>
        <v>0</v>
      </c>
      <c r="F24" s="64">
        <f>E24</f>
        <v>0</v>
      </c>
      <c r="G24" s="103">
        <f>C24</f>
        <v>0</v>
      </c>
      <c r="H24" s="154"/>
      <c r="J24" s="288">
        <f>(G24*B24*D24)</f>
        <v>0</v>
      </c>
    </row>
    <row r="25" spans="1:16" ht="31" hidden="1" outlineLevel="1" x14ac:dyDescent="0.35">
      <c r="A25" s="45" t="s">
        <v>212</v>
      </c>
      <c r="B25" s="173">
        <v>15600</v>
      </c>
      <c r="C25" s="138"/>
      <c r="D25" s="42">
        <v>1</v>
      </c>
      <c r="E25" s="41">
        <f>B25*C25</f>
        <v>0</v>
      </c>
      <c r="F25" s="64">
        <f>E25</f>
        <v>0</v>
      </c>
      <c r="G25" s="138">
        <f>C25</f>
        <v>0</v>
      </c>
      <c r="H25" s="154"/>
      <c r="J25" s="288">
        <f>(G25*B25*D25)</f>
        <v>0</v>
      </c>
    </row>
    <row r="26" spans="1:16" ht="121.5" collapsed="1" thickBot="1" x14ac:dyDescent="0.7">
      <c r="A26" s="179" t="s">
        <v>186</v>
      </c>
      <c r="B26" s="17" t="s">
        <v>1</v>
      </c>
      <c r="C26" s="161" t="s">
        <v>2</v>
      </c>
      <c r="D26" s="17"/>
      <c r="E26" s="9" t="s">
        <v>3</v>
      </c>
      <c r="F26" s="152" t="s">
        <v>165</v>
      </c>
      <c r="G26" s="90" t="s">
        <v>142</v>
      </c>
      <c r="H26" s="155"/>
      <c r="O26" s="87" t="s">
        <v>290</v>
      </c>
      <c r="P26" s="241">
        <v>4</v>
      </c>
    </row>
    <row r="27" spans="1:16" ht="22.5" thickBot="1" x14ac:dyDescent="0.4">
      <c r="A27" s="59">
        <f>+F27</f>
        <v>295500</v>
      </c>
      <c r="B27" s="61" t="s">
        <v>4</v>
      </c>
      <c r="C27" s="160" t="s">
        <v>5</v>
      </c>
      <c r="D27" s="61"/>
      <c r="E27" s="62">
        <f>SUM(E28:E37)</f>
        <v>295500</v>
      </c>
      <c r="F27" s="91">
        <f>SUM(F28:F34)</f>
        <v>295500</v>
      </c>
      <c r="G27" s="291" t="s">
        <v>143</v>
      </c>
      <c r="H27" s="153">
        <f>SUM(H28:H32)</f>
        <v>298750</v>
      </c>
      <c r="O27" s="113" t="s">
        <v>82</v>
      </c>
      <c r="P27" s="113">
        <f>SUM(P19,P26)</f>
        <v>9.8755555555555556</v>
      </c>
    </row>
    <row r="28" spans="1:16" ht="22.5" thickBot="1" x14ac:dyDescent="0.4">
      <c r="A28" s="43" t="s">
        <v>155</v>
      </c>
      <c r="B28" s="173">
        <v>19500</v>
      </c>
      <c r="C28" s="112">
        <v>1</v>
      </c>
      <c r="D28" s="42">
        <v>1</v>
      </c>
      <c r="E28" s="41">
        <f t="shared" ref="E28:E38" si="3">B28*C28</f>
        <v>19500</v>
      </c>
      <c r="F28" s="64">
        <f>E28</f>
        <v>19500</v>
      </c>
      <c r="G28" s="540">
        <v>0.5</v>
      </c>
      <c r="H28" s="539">
        <f>(G28*B28*D28)</f>
        <v>9750</v>
      </c>
      <c r="K28" s="276" t="s">
        <v>216</v>
      </c>
      <c r="L28" s="114" t="s">
        <v>47</v>
      </c>
      <c r="M28" s="115" t="s">
        <v>48</v>
      </c>
      <c r="N28" s="115" t="s">
        <v>49</v>
      </c>
      <c r="O28" s="116" t="s">
        <v>50</v>
      </c>
      <c r="P28" s="117" t="s">
        <v>80</v>
      </c>
    </row>
    <row r="29" spans="1:16" ht="62.5" thickBot="1" x14ac:dyDescent="0.4">
      <c r="A29" s="43" t="s">
        <v>292</v>
      </c>
      <c r="B29" s="173">
        <v>13000</v>
      </c>
      <c r="C29" s="112">
        <v>17</v>
      </c>
      <c r="D29" s="42">
        <v>1</v>
      </c>
      <c r="E29" s="41">
        <f t="shared" si="3"/>
        <v>221000</v>
      </c>
      <c r="F29" s="64">
        <f>E29</f>
        <v>221000</v>
      </c>
      <c r="G29" s="452">
        <v>18</v>
      </c>
      <c r="H29" s="288">
        <f>(G29*B29*D29)</f>
        <v>234000</v>
      </c>
      <c r="J29" s="40"/>
      <c r="K29" s="273">
        <f>C16*0.8</f>
        <v>0</v>
      </c>
      <c r="L29" s="274">
        <v>4</v>
      </c>
      <c r="M29" s="118">
        <f>K29*L29*10</f>
        <v>0</v>
      </c>
      <c r="N29" s="119">
        <f>M29*1.6</f>
        <v>0</v>
      </c>
      <c r="O29" s="120">
        <f>N29/25</f>
        <v>0</v>
      </c>
      <c r="P29" s="275">
        <f>(M29*2.3)/1000</f>
        <v>0</v>
      </c>
    </row>
    <row r="30" spans="1:16" x14ac:dyDescent="0.35">
      <c r="A30" s="43" t="s">
        <v>101</v>
      </c>
      <c r="B30" s="173">
        <v>30000</v>
      </c>
      <c r="C30" s="112">
        <v>1</v>
      </c>
      <c r="D30" s="42">
        <v>1</v>
      </c>
      <c r="E30" s="41">
        <f t="shared" si="3"/>
        <v>30000</v>
      </c>
      <c r="F30" s="64">
        <f>E30</f>
        <v>30000</v>
      </c>
      <c r="G30" s="112">
        <f>C30</f>
        <v>1</v>
      </c>
      <c r="H30" s="288">
        <f>(G30*B30*D30)</f>
        <v>30000</v>
      </c>
      <c r="J30" s="40"/>
    </row>
    <row r="31" spans="1:16" x14ac:dyDescent="0.35">
      <c r="A31" s="43" t="s">
        <v>90</v>
      </c>
      <c r="B31" s="173">
        <v>15000</v>
      </c>
      <c r="C31" s="112">
        <v>1</v>
      </c>
      <c r="D31" s="42">
        <v>1</v>
      </c>
      <c r="E31" s="41">
        <f t="shared" si="3"/>
        <v>15000</v>
      </c>
      <c r="F31" s="64">
        <f>E31</f>
        <v>15000</v>
      </c>
      <c r="G31" s="112">
        <f>C31</f>
        <v>1</v>
      </c>
      <c r="H31" s="288">
        <f>(G31*B31*D31)</f>
        <v>15000</v>
      </c>
      <c r="J31" s="40"/>
    </row>
    <row r="32" spans="1:16" x14ac:dyDescent="0.35">
      <c r="A32" s="43" t="s">
        <v>91</v>
      </c>
      <c r="B32" s="173">
        <v>10000</v>
      </c>
      <c r="C32" s="112">
        <v>1</v>
      </c>
      <c r="D32" s="42">
        <v>1</v>
      </c>
      <c r="E32" s="41">
        <f t="shared" si="3"/>
        <v>10000</v>
      </c>
      <c r="F32" s="64">
        <f>E32</f>
        <v>10000</v>
      </c>
      <c r="G32" s="112">
        <f t="shared" ref="G32:G38" si="4">C32</f>
        <v>1</v>
      </c>
      <c r="H32" s="288">
        <f>(G32*B32*D32)</f>
        <v>10000</v>
      </c>
      <c r="J32" s="40"/>
    </row>
    <row r="33" spans="1:11" hidden="1" outlineLevel="1" x14ac:dyDescent="0.35">
      <c r="A33" s="43"/>
      <c r="B33" s="173">
        <v>0</v>
      </c>
      <c r="C33" s="112"/>
      <c r="D33" s="42">
        <v>1</v>
      </c>
      <c r="E33" s="41">
        <f t="shared" si="3"/>
        <v>0</v>
      </c>
      <c r="F33" s="64">
        <f t="shared" ref="F33:F38" si="5">E33*0.85</f>
        <v>0</v>
      </c>
      <c r="G33" s="112">
        <f t="shared" si="4"/>
        <v>0</v>
      </c>
      <c r="H33" s="40"/>
      <c r="J33" s="288">
        <f t="shared" ref="J33:J38" si="6">(G33*B33*D33)*0.85</f>
        <v>0</v>
      </c>
    </row>
    <row r="34" spans="1:11" hidden="1" outlineLevel="1" x14ac:dyDescent="0.35">
      <c r="A34" s="39"/>
      <c r="B34" s="173">
        <v>0</v>
      </c>
      <c r="C34" s="112"/>
      <c r="D34" s="42">
        <v>4</v>
      </c>
      <c r="E34" s="41">
        <f t="shared" si="3"/>
        <v>0</v>
      </c>
      <c r="F34" s="64">
        <f t="shared" si="5"/>
        <v>0</v>
      </c>
      <c r="G34" s="112">
        <f t="shared" si="4"/>
        <v>0</v>
      </c>
      <c r="H34" s="40"/>
      <c r="J34" s="288">
        <f t="shared" si="6"/>
        <v>0</v>
      </c>
    </row>
    <row r="35" spans="1:11" hidden="1" outlineLevel="1" x14ac:dyDescent="0.35">
      <c r="A35" s="43"/>
      <c r="B35" s="173">
        <v>0</v>
      </c>
      <c r="C35" s="112"/>
      <c r="D35" s="42">
        <v>5</v>
      </c>
      <c r="E35" s="41">
        <f t="shared" si="3"/>
        <v>0</v>
      </c>
      <c r="F35" s="64">
        <f t="shared" si="5"/>
        <v>0</v>
      </c>
      <c r="G35" s="112">
        <f t="shared" si="4"/>
        <v>0</v>
      </c>
      <c r="H35" s="40"/>
      <c r="J35" s="288">
        <f t="shared" si="6"/>
        <v>0</v>
      </c>
    </row>
    <row r="36" spans="1:11" hidden="1" outlineLevel="1" x14ac:dyDescent="0.35">
      <c r="A36" s="43"/>
      <c r="B36" s="173">
        <v>0</v>
      </c>
      <c r="C36" s="112"/>
      <c r="D36" s="42">
        <v>6</v>
      </c>
      <c r="E36" s="41">
        <f t="shared" si="3"/>
        <v>0</v>
      </c>
      <c r="F36" s="64">
        <f t="shared" si="5"/>
        <v>0</v>
      </c>
      <c r="G36" s="112">
        <f t="shared" si="4"/>
        <v>0</v>
      </c>
      <c r="H36" s="40"/>
      <c r="J36" s="288">
        <f t="shared" si="6"/>
        <v>0</v>
      </c>
    </row>
    <row r="37" spans="1:11" hidden="1" outlineLevel="1" x14ac:dyDescent="0.35">
      <c r="A37" s="43"/>
      <c r="B37" s="173">
        <v>0</v>
      </c>
      <c r="C37" s="112"/>
      <c r="D37" s="42">
        <v>7</v>
      </c>
      <c r="E37" s="41">
        <f t="shared" si="3"/>
        <v>0</v>
      </c>
      <c r="F37" s="64">
        <f t="shared" si="5"/>
        <v>0</v>
      </c>
      <c r="G37" s="112">
        <f t="shared" si="4"/>
        <v>0</v>
      </c>
      <c r="H37" s="40"/>
      <c r="J37" s="288">
        <f t="shared" si="6"/>
        <v>0</v>
      </c>
    </row>
    <row r="38" spans="1:11" hidden="1" outlineLevel="1" x14ac:dyDescent="0.35">
      <c r="A38" s="77"/>
      <c r="B38" s="173">
        <v>0</v>
      </c>
      <c r="C38" s="162"/>
      <c r="D38" s="42">
        <v>8</v>
      </c>
      <c r="E38" s="41">
        <f t="shared" si="3"/>
        <v>0</v>
      </c>
      <c r="F38" s="64">
        <f t="shared" si="5"/>
        <v>0</v>
      </c>
      <c r="G38" s="112">
        <f t="shared" si="4"/>
        <v>0</v>
      </c>
      <c r="J38" s="288">
        <f t="shared" si="6"/>
        <v>0</v>
      </c>
    </row>
    <row r="39" spans="1:11" ht="150" customHeight="1" collapsed="1" thickBot="1" x14ac:dyDescent="0.7">
      <c r="A39" s="123" t="s">
        <v>116</v>
      </c>
      <c r="B39" s="17" t="s">
        <v>1</v>
      </c>
      <c r="C39" s="161"/>
      <c r="D39" s="17"/>
      <c r="E39" s="9" t="s">
        <v>3</v>
      </c>
      <c r="F39" s="152" t="s">
        <v>165</v>
      </c>
      <c r="G39" s="90" t="s">
        <v>142</v>
      </c>
      <c r="H39" s="155"/>
    </row>
    <row r="40" spans="1:11" ht="22.5" thickBot="1" x14ac:dyDescent="0.4">
      <c r="A40" s="59">
        <f>SUM(E41:E48)</f>
        <v>315000</v>
      </c>
      <c r="B40" s="61" t="s">
        <v>4</v>
      </c>
      <c r="C40" s="160" t="s">
        <v>5</v>
      </c>
      <c r="D40" s="61"/>
      <c r="E40" s="62">
        <f>SUM(E41:E48)</f>
        <v>315000</v>
      </c>
      <c r="F40" s="91">
        <f>SUM(F41:F48)</f>
        <v>315000</v>
      </c>
      <c r="G40" s="291" t="s">
        <v>143</v>
      </c>
      <c r="H40" s="153">
        <f>SUM(H41:H48)</f>
        <v>303000</v>
      </c>
    </row>
    <row r="41" spans="1:11" ht="31" x14ac:dyDescent="0.35">
      <c r="A41" s="124" t="s">
        <v>294</v>
      </c>
      <c r="B41" s="173">
        <v>12000</v>
      </c>
      <c r="C41" s="112">
        <v>3</v>
      </c>
      <c r="D41" s="42">
        <v>1</v>
      </c>
      <c r="E41" s="41">
        <f t="shared" ref="E41:E48" si="7">B41*C41</f>
        <v>36000</v>
      </c>
      <c r="F41" s="64">
        <f t="shared" ref="F41:F47" si="8">E41</f>
        <v>36000</v>
      </c>
      <c r="G41" s="112">
        <f>C41</f>
        <v>3</v>
      </c>
      <c r="H41" s="457">
        <f>(G41*B41*D41)</f>
        <v>36000</v>
      </c>
    </row>
    <row r="42" spans="1:11" x14ac:dyDescent="0.35">
      <c r="A42" s="43" t="s">
        <v>113</v>
      </c>
      <c r="B42" s="173">
        <v>6000</v>
      </c>
      <c r="C42" s="112">
        <v>15</v>
      </c>
      <c r="D42" s="42">
        <v>1</v>
      </c>
      <c r="E42" s="41">
        <f t="shared" si="7"/>
        <v>90000</v>
      </c>
      <c r="F42" s="64">
        <f t="shared" si="8"/>
        <v>90000</v>
      </c>
      <c r="G42" s="562">
        <f>20+1+2</f>
        <v>23</v>
      </c>
      <c r="H42" s="457">
        <f>(G42*B42*D42)</f>
        <v>138000</v>
      </c>
      <c r="K42" s="87" t="s">
        <v>388</v>
      </c>
    </row>
    <row r="43" spans="1:11" x14ac:dyDescent="0.35">
      <c r="A43" s="43" t="s">
        <v>234</v>
      </c>
      <c r="B43" s="173">
        <v>15000</v>
      </c>
      <c r="C43" s="112">
        <v>2</v>
      </c>
      <c r="D43" s="42">
        <v>1</v>
      </c>
      <c r="E43" s="41">
        <f t="shared" si="7"/>
        <v>30000</v>
      </c>
      <c r="F43" s="64">
        <f t="shared" si="8"/>
        <v>30000</v>
      </c>
      <c r="G43" s="112">
        <f t="shared" ref="G43:G48" si="9">C43</f>
        <v>2</v>
      </c>
      <c r="H43" s="457">
        <f>(G43*B43*D43)</f>
        <v>30000</v>
      </c>
    </row>
    <row r="44" spans="1:11" x14ac:dyDescent="0.35">
      <c r="A44" s="43" t="s">
        <v>233</v>
      </c>
      <c r="B44" s="173">
        <v>2000</v>
      </c>
      <c r="C44" s="112">
        <v>30</v>
      </c>
      <c r="D44" s="42">
        <v>1</v>
      </c>
      <c r="E44" s="41">
        <f t="shared" si="7"/>
        <v>60000</v>
      </c>
      <c r="F44" s="64">
        <f t="shared" si="8"/>
        <v>60000</v>
      </c>
      <c r="G44" s="112"/>
      <c r="H44" s="40"/>
      <c r="J44" s="288">
        <f t="shared" ref="J44" si="10">(G44*B44*D44)</f>
        <v>0</v>
      </c>
    </row>
    <row r="45" spans="1:11" x14ac:dyDescent="0.35">
      <c r="A45" s="43" t="s">
        <v>114</v>
      </c>
      <c r="B45" s="173">
        <v>10000</v>
      </c>
      <c r="C45" s="112">
        <v>5</v>
      </c>
      <c r="D45" s="42">
        <v>1</v>
      </c>
      <c r="E45" s="41">
        <f t="shared" si="7"/>
        <v>50000</v>
      </c>
      <c r="F45" s="64">
        <f t="shared" si="8"/>
        <v>50000</v>
      </c>
      <c r="G45" s="112">
        <v>5</v>
      </c>
      <c r="H45" s="457">
        <f>(G45*B45*D45)</f>
        <v>50000</v>
      </c>
      <c r="K45" s="87" t="s">
        <v>389</v>
      </c>
    </row>
    <row r="46" spans="1:11" ht="31" x14ac:dyDescent="0.35">
      <c r="A46" s="43" t="s">
        <v>203</v>
      </c>
      <c r="B46" s="173">
        <v>15000</v>
      </c>
      <c r="C46" s="112">
        <v>1</v>
      </c>
      <c r="D46" s="42">
        <v>1</v>
      </c>
      <c r="E46" s="41">
        <f t="shared" si="7"/>
        <v>15000</v>
      </c>
      <c r="F46" s="64">
        <f t="shared" ref="F46" si="11">E46</f>
        <v>15000</v>
      </c>
      <c r="G46" s="112">
        <f t="shared" si="9"/>
        <v>1</v>
      </c>
      <c r="H46" s="457">
        <f>(G46*B46*D46)</f>
        <v>15000</v>
      </c>
    </row>
    <row r="47" spans="1:11" x14ac:dyDescent="0.35">
      <c r="A47" s="277" t="s">
        <v>275</v>
      </c>
      <c r="B47" s="173">
        <v>8000</v>
      </c>
      <c r="C47" s="112">
        <v>2</v>
      </c>
      <c r="D47" s="42">
        <v>1</v>
      </c>
      <c r="E47" s="41">
        <f t="shared" si="7"/>
        <v>16000</v>
      </c>
      <c r="F47" s="64">
        <f t="shared" si="8"/>
        <v>16000</v>
      </c>
      <c r="G47" s="478">
        <f t="shared" si="9"/>
        <v>2</v>
      </c>
      <c r="H47" s="459">
        <f>(G47*B47*D47)</f>
        <v>16000</v>
      </c>
    </row>
    <row r="48" spans="1:11" ht="31" x14ac:dyDescent="0.35">
      <c r="A48" s="43" t="s">
        <v>295</v>
      </c>
      <c r="B48" s="173">
        <v>18000</v>
      </c>
      <c r="C48" s="112">
        <v>1</v>
      </c>
      <c r="D48" s="42">
        <v>1</v>
      </c>
      <c r="E48" s="41">
        <f t="shared" si="7"/>
        <v>18000</v>
      </c>
      <c r="F48" s="64">
        <f t="shared" ref="F48" si="12">E48</f>
        <v>18000</v>
      </c>
      <c r="G48" s="562">
        <f t="shared" si="9"/>
        <v>1</v>
      </c>
      <c r="H48" s="564">
        <f>(G48*B48*D48)</f>
        <v>18000</v>
      </c>
    </row>
    <row r="49" spans="1:15" ht="57" thickBot="1" x14ac:dyDescent="0.7">
      <c r="A49" s="89" t="s">
        <v>9</v>
      </c>
      <c r="B49" s="17" t="s">
        <v>1</v>
      </c>
      <c r="C49" s="161" t="s">
        <v>2</v>
      </c>
      <c r="D49" s="17" t="s">
        <v>6</v>
      </c>
      <c r="E49" s="9" t="s">
        <v>3</v>
      </c>
      <c r="F49" s="152" t="s">
        <v>165</v>
      </c>
      <c r="G49" s="90" t="s">
        <v>142</v>
      </c>
      <c r="H49" s="155"/>
    </row>
    <row r="50" spans="1:15" ht="22.5" thickBot="1" x14ac:dyDescent="0.4">
      <c r="A50" s="59">
        <f>+E50</f>
        <v>467043</v>
      </c>
      <c r="B50" s="61" t="s">
        <v>4</v>
      </c>
      <c r="C50" s="160" t="s">
        <v>5</v>
      </c>
      <c r="D50" s="61"/>
      <c r="E50" s="62">
        <f>SUM(E51:E69)</f>
        <v>467043</v>
      </c>
      <c r="F50" s="91">
        <f>SUM(F51:F69)</f>
        <v>467043</v>
      </c>
      <c r="G50" s="291" t="s">
        <v>143</v>
      </c>
      <c r="H50" s="153">
        <f>SUM(H51:H69)</f>
        <v>454183</v>
      </c>
      <c r="K50" s="261"/>
    </row>
    <row r="51" spans="1:15" ht="31" x14ac:dyDescent="0.35">
      <c r="A51" s="43" t="s">
        <v>330</v>
      </c>
      <c r="B51" s="173">
        <v>2500</v>
      </c>
      <c r="C51" s="126">
        <v>3.48</v>
      </c>
      <c r="D51" s="531">
        <v>2</v>
      </c>
      <c r="E51" s="46">
        <f t="shared" ref="E51:E59" si="13">B51*C51</f>
        <v>8700</v>
      </c>
      <c r="F51" s="64">
        <f t="shared" ref="F51:F67" si="14">E51</f>
        <v>8700</v>
      </c>
      <c r="G51" s="501">
        <f>C51</f>
        <v>3.48</v>
      </c>
      <c r="H51" s="530">
        <f>(G51*B51*D51)</f>
        <v>17400</v>
      </c>
      <c r="K51" s="260"/>
    </row>
    <row r="52" spans="1:15" ht="31" x14ac:dyDescent="0.35">
      <c r="A52" s="43" t="s">
        <v>331</v>
      </c>
      <c r="B52" s="173">
        <v>5500</v>
      </c>
      <c r="C52" s="126">
        <v>3.2</v>
      </c>
      <c r="D52" s="47">
        <v>1</v>
      </c>
      <c r="E52" s="46">
        <f t="shared" ref="E52" si="15">B52*C52</f>
        <v>17600</v>
      </c>
      <c r="F52" s="64">
        <f t="shared" ref="F52" si="16">E52</f>
        <v>17600</v>
      </c>
      <c r="G52" s="501">
        <f>C52</f>
        <v>3.2</v>
      </c>
      <c r="H52" s="500">
        <f>(G52*B52*D52)</f>
        <v>17600</v>
      </c>
      <c r="K52" s="260"/>
    </row>
    <row r="53" spans="1:15" x14ac:dyDescent="0.35">
      <c r="A53" s="43" t="s">
        <v>359</v>
      </c>
      <c r="B53" s="173">
        <v>2500</v>
      </c>
      <c r="C53" s="126">
        <v>8.32</v>
      </c>
      <c r="D53" s="47">
        <v>1</v>
      </c>
      <c r="E53" s="46">
        <f t="shared" ref="E53" si="17">B53*C53</f>
        <v>20800</v>
      </c>
      <c r="F53" s="64">
        <f t="shared" ref="F53" si="18">E53</f>
        <v>20800</v>
      </c>
      <c r="G53" s="549">
        <f>C53</f>
        <v>8.32</v>
      </c>
      <c r="H53" s="539">
        <f>(G53*B53*D53)</f>
        <v>20800</v>
      </c>
      <c r="I53" s="550"/>
      <c r="K53" s="260"/>
    </row>
    <row r="54" spans="1:15" x14ac:dyDescent="0.35">
      <c r="A54" s="43" t="s">
        <v>265</v>
      </c>
      <c r="B54" s="173">
        <v>1500</v>
      </c>
      <c r="C54" s="126">
        <v>6.04</v>
      </c>
      <c r="D54" s="47">
        <v>1</v>
      </c>
      <c r="E54" s="46">
        <f t="shared" si="13"/>
        <v>9060</v>
      </c>
      <c r="F54" s="64">
        <f t="shared" si="14"/>
        <v>9060</v>
      </c>
      <c r="G54" s="502">
        <v>5</v>
      </c>
      <c r="H54" s="500">
        <f t="shared" ref="H54:H59" si="19">(G54*B54*D54)</f>
        <v>7500</v>
      </c>
      <c r="K54" s="260"/>
    </row>
    <row r="55" spans="1:15" x14ac:dyDescent="0.35">
      <c r="A55" s="43" t="s">
        <v>346</v>
      </c>
      <c r="B55" s="173">
        <v>6000</v>
      </c>
      <c r="C55" s="158">
        <v>2</v>
      </c>
      <c r="D55" s="42">
        <v>1</v>
      </c>
      <c r="E55" s="46">
        <f t="shared" si="13"/>
        <v>12000</v>
      </c>
      <c r="F55" s="64">
        <f t="shared" si="14"/>
        <v>12000</v>
      </c>
      <c r="G55" s="503">
        <f>C55</f>
        <v>2</v>
      </c>
      <c r="H55" s="500">
        <f t="shared" si="19"/>
        <v>12000</v>
      </c>
      <c r="K55" s="260"/>
    </row>
    <row r="56" spans="1:15" ht="30" customHeight="1" x14ac:dyDescent="0.35">
      <c r="A56" s="43" t="s">
        <v>296</v>
      </c>
      <c r="B56" s="173">
        <v>3000</v>
      </c>
      <c r="C56" s="128">
        <v>9.9499999999999993</v>
      </c>
      <c r="D56" s="42">
        <v>1</v>
      </c>
      <c r="E56" s="46">
        <f t="shared" si="13"/>
        <v>29849.999999999996</v>
      </c>
      <c r="F56" s="64">
        <f t="shared" si="14"/>
        <v>29849.999999999996</v>
      </c>
      <c r="G56" s="128">
        <f t="shared" ref="G56:G58" si="20">C56</f>
        <v>9.9499999999999993</v>
      </c>
      <c r="H56" s="438">
        <f t="shared" si="19"/>
        <v>29849.999999999996</v>
      </c>
      <c r="K56" s="260"/>
    </row>
    <row r="57" spans="1:15" ht="30" customHeight="1" x14ac:dyDescent="0.35">
      <c r="A57" s="43" t="s">
        <v>340</v>
      </c>
      <c r="B57" s="41">
        <v>3600</v>
      </c>
      <c r="C57" s="126">
        <f>C89</f>
        <v>12.54</v>
      </c>
      <c r="D57" s="42">
        <v>1</v>
      </c>
      <c r="E57" s="46">
        <f t="shared" si="13"/>
        <v>45144</v>
      </c>
      <c r="F57" s="64">
        <f>E57</f>
        <v>45144</v>
      </c>
      <c r="G57" s="464">
        <f>C57</f>
        <v>12.54</v>
      </c>
      <c r="H57" s="460">
        <f t="shared" si="19"/>
        <v>45144</v>
      </c>
      <c r="K57" s="260"/>
    </row>
    <row r="58" spans="1:15" ht="31" x14ac:dyDescent="0.35">
      <c r="A58" s="43" t="s">
        <v>201</v>
      </c>
      <c r="B58" s="173">
        <v>4800</v>
      </c>
      <c r="C58" s="126">
        <v>7.25</v>
      </c>
      <c r="D58" s="42">
        <v>1</v>
      </c>
      <c r="E58" s="46">
        <f t="shared" si="13"/>
        <v>34800</v>
      </c>
      <c r="F58" s="64">
        <f t="shared" si="14"/>
        <v>34800</v>
      </c>
      <c r="G58" s="450">
        <f t="shared" si="20"/>
        <v>7.25</v>
      </c>
      <c r="H58" s="449">
        <f t="shared" si="19"/>
        <v>34800</v>
      </c>
      <c r="K58" s="260"/>
    </row>
    <row r="59" spans="1:15" s="87" customFormat="1" ht="31" x14ac:dyDescent="0.35">
      <c r="A59" s="43" t="s">
        <v>297</v>
      </c>
      <c r="B59" s="173">
        <v>7000</v>
      </c>
      <c r="C59" s="138">
        <v>16.899999999999999</v>
      </c>
      <c r="D59" s="42">
        <v>1</v>
      </c>
      <c r="E59" s="46">
        <f t="shared" si="13"/>
        <v>118299.99999999999</v>
      </c>
      <c r="F59" s="64">
        <f t="shared" si="14"/>
        <v>118299.99999999999</v>
      </c>
      <c r="G59" s="463">
        <f t="shared" ref="G59:G68" si="21">C59</f>
        <v>16.899999999999999</v>
      </c>
      <c r="H59" s="476">
        <f t="shared" si="19"/>
        <v>118299.99999999999</v>
      </c>
      <c r="I59" s="235"/>
      <c r="K59" s="260"/>
    </row>
    <row r="60" spans="1:15" x14ac:dyDescent="0.35">
      <c r="A60" s="43" t="s">
        <v>298</v>
      </c>
      <c r="B60" s="173">
        <v>3600</v>
      </c>
      <c r="C60" s="126">
        <v>2.87</v>
      </c>
      <c r="D60" s="42">
        <v>1</v>
      </c>
      <c r="E60" s="46">
        <f t="shared" ref="E60:E67" si="22">B60*C60*D60</f>
        <v>10332</v>
      </c>
      <c r="F60" s="64">
        <f>E60</f>
        <v>10332</v>
      </c>
      <c r="G60" s="529">
        <f t="shared" si="21"/>
        <v>2.87</v>
      </c>
      <c r="H60" s="530">
        <f>(G60*B60*D60)</f>
        <v>10332</v>
      </c>
      <c r="K60" s="260"/>
    </row>
    <row r="61" spans="1:15" x14ac:dyDescent="0.35">
      <c r="A61" s="43" t="s">
        <v>345</v>
      </c>
      <c r="B61" s="173">
        <v>3600</v>
      </c>
      <c r="C61" s="126">
        <v>1.87</v>
      </c>
      <c r="D61" s="42">
        <v>1</v>
      </c>
      <c r="E61" s="46">
        <f t="shared" ref="E61" si="23">B61*C61*D61</f>
        <v>6732</v>
      </c>
      <c r="F61" s="64">
        <f>E61</f>
        <v>6732</v>
      </c>
      <c r="G61" s="549">
        <f t="shared" ref="G61" si="24">C61</f>
        <v>1.87</v>
      </c>
      <c r="H61" s="539">
        <f>(G61*B61*D61)</f>
        <v>6732</v>
      </c>
      <c r="I61" s="550"/>
      <c r="K61" s="260"/>
    </row>
    <row r="62" spans="1:15" x14ac:dyDescent="0.35">
      <c r="A62" s="43" t="s">
        <v>299</v>
      </c>
      <c r="B62" s="46">
        <v>7500</v>
      </c>
      <c r="C62" s="125">
        <v>2</v>
      </c>
      <c r="D62" s="42">
        <v>1</v>
      </c>
      <c r="E62" s="46">
        <f t="shared" ref="E62" si="25">B62*C62*D62</f>
        <v>15000</v>
      </c>
      <c r="F62" s="64">
        <f t="shared" ref="F62" si="26">E62</f>
        <v>15000</v>
      </c>
      <c r="G62" s="601">
        <v>2</v>
      </c>
      <c r="H62" s="539">
        <f>(G62*B62*D62)</f>
        <v>15000</v>
      </c>
      <c r="I62" s="550"/>
      <c r="K62" s="260"/>
    </row>
    <row r="63" spans="1:15" x14ac:dyDescent="0.35">
      <c r="A63" s="43" t="s">
        <v>300</v>
      </c>
      <c r="B63" s="173">
        <v>20000</v>
      </c>
      <c r="C63" s="125">
        <v>1</v>
      </c>
      <c r="D63" s="42">
        <v>1</v>
      </c>
      <c r="E63" s="46">
        <f t="shared" si="22"/>
        <v>20000</v>
      </c>
      <c r="F63" s="64">
        <f t="shared" si="14"/>
        <v>20000</v>
      </c>
      <c r="G63" s="125"/>
      <c r="H63" s="435"/>
      <c r="K63" s="260"/>
    </row>
    <row r="64" spans="1:15" ht="31" x14ac:dyDescent="0.35">
      <c r="A64" s="43" t="s">
        <v>305</v>
      </c>
      <c r="B64" s="173">
        <v>22000</v>
      </c>
      <c r="C64" s="125">
        <v>1</v>
      </c>
      <c r="D64" s="47">
        <v>1</v>
      </c>
      <c r="E64" s="46">
        <f t="shared" ref="E64:E66" si="27">B64*C64*D64</f>
        <v>22000</v>
      </c>
      <c r="F64" s="64">
        <f t="shared" ref="F64:F66" si="28">E64</f>
        <v>22000</v>
      </c>
      <c r="G64" s="461">
        <v>1</v>
      </c>
      <c r="H64" s="459">
        <f t="shared" ref="H64:H69" si="29">(G64*B64*D64)</f>
        <v>22000</v>
      </c>
      <c r="K64" s="260"/>
      <c r="L64" s="87"/>
      <c r="O64" s="87"/>
    </row>
    <row r="65" spans="1:11" x14ac:dyDescent="0.35">
      <c r="A65" s="43" t="s">
        <v>309</v>
      </c>
      <c r="B65" s="173">
        <v>13000</v>
      </c>
      <c r="C65" s="125">
        <v>1</v>
      </c>
      <c r="D65" s="42">
        <v>1</v>
      </c>
      <c r="E65" s="46">
        <f t="shared" si="27"/>
        <v>13000</v>
      </c>
      <c r="F65" s="64">
        <f t="shared" si="28"/>
        <v>13000</v>
      </c>
      <c r="G65" s="477">
        <f t="shared" si="21"/>
        <v>1</v>
      </c>
      <c r="H65" s="459">
        <f t="shared" si="29"/>
        <v>13000</v>
      </c>
      <c r="K65" s="260"/>
    </row>
    <row r="66" spans="1:11" x14ac:dyDescent="0.35">
      <c r="A66" s="43" t="s">
        <v>312</v>
      </c>
      <c r="B66" s="173">
        <v>2500</v>
      </c>
      <c r="C66" s="128">
        <v>15.09</v>
      </c>
      <c r="D66" s="42">
        <v>1</v>
      </c>
      <c r="E66" s="46">
        <f t="shared" si="27"/>
        <v>37725</v>
      </c>
      <c r="F66" s="64">
        <f t="shared" si="28"/>
        <v>37725</v>
      </c>
      <c r="G66" s="515">
        <f>C66</f>
        <v>15.09</v>
      </c>
      <c r="H66" s="480">
        <f t="shared" si="29"/>
        <v>37725</v>
      </c>
      <c r="K66" s="260"/>
    </row>
    <row r="67" spans="1:11" x14ac:dyDescent="0.35">
      <c r="A67" s="43" t="s">
        <v>71</v>
      </c>
      <c r="B67" s="173">
        <v>6000</v>
      </c>
      <c r="C67" s="158">
        <v>1</v>
      </c>
      <c r="D67" s="42">
        <v>1</v>
      </c>
      <c r="E67" s="46">
        <f t="shared" si="22"/>
        <v>6000</v>
      </c>
      <c r="F67" s="64">
        <f t="shared" si="14"/>
        <v>6000</v>
      </c>
      <c r="G67" s="462">
        <f t="shared" si="21"/>
        <v>1</v>
      </c>
      <c r="H67" s="460">
        <f t="shared" si="29"/>
        <v>6000</v>
      </c>
      <c r="K67" s="260"/>
    </row>
    <row r="68" spans="1:11" ht="31" x14ac:dyDescent="0.35">
      <c r="A68" s="43" t="s">
        <v>332</v>
      </c>
      <c r="B68" s="173">
        <v>20000</v>
      </c>
      <c r="C68" s="125">
        <v>1</v>
      </c>
      <c r="D68" s="42">
        <v>1</v>
      </c>
      <c r="E68" s="46">
        <f t="shared" ref="E68" si="30">B68*C68*D68</f>
        <v>20000</v>
      </c>
      <c r="F68" s="64">
        <f t="shared" ref="F68" si="31">E68</f>
        <v>20000</v>
      </c>
      <c r="G68" s="448">
        <f t="shared" si="21"/>
        <v>1</v>
      </c>
      <c r="H68" s="449">
        <f t="shared" si="29"/>
        <v>20000</v>
      </c>
      <c r="K68" s="260"/>
    </row>
    <row r="69" spans="1:11" ht="31" x14ac:dyDescent="0.35">
      <c r="A69" s="43" t="s">
        <v>339</v>
      </c>
      <c r="B69" s="173">
        <v>20000</v>
      </c>
      <c r="C69" s="125">
        <v>1</v>
      </c>
      <c r="D69" s="42">
        <v>1</v>
      </c>
      <c r="E69" s="46">
        <f t="shared" ref="E69" si="32">B69*C69*D69</f>
        <v>20000</v>
      </c>
      <c r="F69" s="64">
        <f t="shared" ref="F69" si="33">E69</f>
        <v>20000</v>
      </c>
      <c r="G69" s="448">
        <f t="shared" ref="G69" si="34">C69</f>
        <v>1</v>
      </c>
      <c r="H69" s="449">
        <f t="shared" si="29"/>
        <v>20000</v>
      </c>
      <c r="J69" s="288"/>
      <c r="K69" s="260"/>
    </row>
    <row r="70" spans="1:11" ht="44.5" thickBot="1" x14ac:dyDescent="0.7">
      <c r="A70" s="179" t="s">
        <v>222</v>
      </c>
      <c r="B70" s="17" t="s">
        <v>1</v>
      </c>
      <c r="C70" s="161" t="s">
        <v>2</v>
      </c>
      <c r="D70" s="17" t="s">
        <v>6</v>
      </c>
      <c r="E70" s="9" t="s">
        <v>3</v>
      </c>
      <c r="F70" s="152" t="s">
        <v>165</v>
      </c>
      <c r="G70" s="90" t="s">
        <v>142</v>
      </c>
      <c r="H70" s="155"/>
    </row>
    <row r="71" spans="1:11" ht="22.5" thickBot="1" x14ac:dyDescent="0.4">
      <c r="A71" s="59">
        <f>SUM(E72:E79)</f>
        <v>0</v>
      </c>
      <c r="B71" s="61" t="s">
        <v>4</v>
      </c>
      <c r="C71" s="160" t="s">
        <v>5</v>
      </c>
      <c r="D71" s="61"/>
      <c r="E71" s="62">
        <f>SUM(E72:E79)</f>
        <v>0</v>
      </c>
      <c r="F71" s="91">
        <f>SUM(F72:F91)</f>
        <v>1069542</v>
      </c>
      <c r="G71" s="291" t="s">
        <v>143</v>
      </c>
      <c r="H71" s="153">
        <f>SUM(H72:H79)</f>
        <v>0</v>
      </c>
    </row>
    <row r="72" spans="1:11" hidden="1" outlineLevel="1" x14ac:dyDescent="0.35">
      <c r="A72" s="43" t="s">
        <v>223</v>
      </c>
      <c r="B72" s="173">
        <v>11700</v>
      </c>
      <c r="C72" s="127">
        <v>0</v>
      </c>
      <c r="D72" s="47">
        <v>1</v>
      </c>
      <c r="E72" s="46">
        <f>C72*B72</f>
        <v>0</v>
      </c>
      <c r="F72" s="64">
        <f t="shared" ref="F72:F80" si="35">E72</f>
        <v>0</v>
      </c>
      <c r="G72" s="127">
        <f t="shared" ref="G72:G80" si="36">C72</f>
        <v>0</v>
      </c>
      <c r="H72" s="154"/>
      <c r="J72" s="288">
        <f t="shared" ref="J72:J83" si="37">(G72*B72*D72)</f>
        <v>0</v>
      </c>
    </row>
    <row r="73" spans="1:11" hidden="1" outlineLevel="1" x14ac:dyDescent="0.35">
      <c r="A73" s="43" t="s">
        <v>226</v>
      </c>
      <c r="B73" s="173">
        <v>3900</v>
      </c>
      <c r="C73" s="127">
        <f>C72</f>
        <v>0</v>
      </c>
      <c r="D73" s="47">
        <v>1</v>
      </c>
      <c r="E73" s="46">
        <f t="shared" ref="E73:E83" si="38">B73*C73</f>
        <v>0</v>
      </c>
      <c r="F73" s="64">
        <f>E73</f>
        <v>0</v>
      </c>
      <c r="G73" s="158">
        <f t="shared" si="36"/>
        <v>0</v>
      </c>
      <c r="H73" s="154"/>
      <c r="J73" s="288">
        <f t="shared" si="37"/>
        <v>0</v>
      </c>
    </row>
    <row r="74" spans="1:11" hidden="1" outlineLevel="1" x14ac:dyDescent="0.35">
      <c r="A74" s="43" t="s">
        <v>224</v>
      </c>
      <c r="B74" s="173">
        <v>2860</v>
      </c>
      <c r="C74" s="127">
        <f>C72</f>
        <v>0</v>
      </c>
      <c r="D74" s="47">
        <v>1</v>
      </c>
      <c r="E74" s="46">
        <f t="shared" si="38"/>
        <v>0</v>
      </c>
      <c r="F74" s="64">
        <f t="shared" si="35"/>
        <v>0</v>
      </c>
      <c r="G74" s="127">
        <f t="shared" si="36"/>
        <v>0</v>
      </c>
      <c r="H74" s="154"/>
      <c r="J74" s="288">
        <f t="shared" si="37"/>
        <v>0</v>
      </c>
    </row>
    <row r="75" spans="1:11" hidden="1" outlineLevel="1" x14ac:dyDescent="0.35">
      <c r="A75" s="43" t="s">
        <v>225</v>
      </c>
      <c r="B75" s="173">
        <v>5850</v>
      </c>
      <c r="C75" s="127">
        <f>C74</f>
        <v>0</v>
      </c>
      <c r="D75" s="47">
        <v>1</v>
      </c>
      <c r="E75" s="46">
        <f t="shared" si="38"/>
        <v>0</v>
      </c>
      <c r="F75" s="64">
        <f t="shared" si="35"/>
        <v>0</v>
      </c>
      <c r="G75" s="127">
        <f t="shared" si="36"/>
        <v>0</v>
      </c>
      <c r="H75" s="154"/>
      <c r="J75" s="288">
        <f t="shared" si="37"/>
        <v>0</v>
      </c>
    </row>
    <row r="76" spans="1:11" hidden="1" outlineLevel="1" x14ac:dyDescent="0.35">
      <c r="A76" s="43" t="s">
        <v>236</v>
      </c>
      <c r="B76" s="173">
        <v>10400</v>
      </c>
      <c r="C76" s="136">
        <v>0</v>
      </c>
      <c r="D76" s="42">
        <v>1</v>
      </c>
      <c r="E76" s="46">
        <f t="shared" si="38"/>
        <v>0</v>
      </c>
      <c r="F76" s="64">
        <f t="shared" si="35"/>
        <v>0</v>
      </c>
      <c r="G76" s="138">
        <f t="shared" si="36"/>
        <v>0</v>
      </c>
      <c r="H76" s="154"/>
      <c r="J76" s="288">
        <f t="shared" si="37"/>
        <v>0</v>
      </c>
    </row>
    <row r="77" spans="1:11" ht="30" hidden="1" customHeight="1" outlineLevel="1" x14ac:dyDescent="0.35">
      <c r="A77" s="43" t="s">
        <v>243</v>
      </c>
      <c r="B77" s="173">
        <v>1690</v>
      </c>
      <c r="C77" s="278">
        <v>0</v>
      </c>
      <c r="D77" s="79">
        <v>2</v>
      </c>
      <c r="E77" s="46">
        <f t="shared" si="38"/>
        <v>0</v>
      </c>
      <c r="F77" s="64">
        <f t="shared" si="35"/>
        <v>0</v>
      </c>
      <c r="G77" s="278">
        <f t="shared" si="36"/>
        <v>0</v>
      </c>
      <c r="H77" s="154"/>
      <c r="J77" s="288">
        <f t="shared" si="37"/>
        <v>0</v>
      </c>
    </row>
    <row r="78" spans="1:11" hidden="1" outlineLevel="1" x14ac:dyDescent="0.35">
      <c r="A78" s="43" t="s">
        <v>237</v>
      </c>
      <c r="B78" s="173">
        <v>3900</v>
      </c>
      <c r="C78" s="136">
        <v>0</v>
      </c>
      <c r="D78" s="42">
        <v>1</v>
      </c>
      <c r="E78" s="46">
        <f t="shared" si="38"/>
        <v>0</v>
      </c>
      <c r="F78" s="64">
        <f>E78</f>
        <v>0</v>
      </c>
      <c r="G78" s="138">
        <f>C78</f>
        <v>0</v>
      </c>
      <c r="H78" s="154"/>
      <c r="J78" s="288">
        <f t="shared" si="37"/>
        <v>0</v>
      </c>
    </row>
    <row r="79" spans="1:11" ht="77.5" hidden="1" outlineLevel="1" x14ac:dyDescent="0.35">
      <c r="A79" s="43" t="s">
        <v>252</v>
      </c>
      <c r="B79" s="173">
        <v>117000</v>
      </c>
      <c r="C79" s="112">
        <v>0</v>
      </c>
      <c r="D79" s="42">
        <v>1</v>
      </c>
      <c r="E79" s="46">
        <f t="shared" si="38"/>
        <v>0</v>
      </c>
      <c r="F79" s="64">
        <f t="shared" si="35"/>
        <v>0</v>
      </c>
      <c r="G79" s="112">
        <f t="shared" si="36"/>
        <v>0</v>
      </c>
      <c r="H79" s="154"/>
      <c r="J79" s="288">
        <f t="shared" si="37"/>
        <v>0</v>
      </c>
    </row>
    <row r="80" spans="1:11" hidden="1" outlineLevel="1" x14ac:dyDescent="0.35">
      <c r="A80" s="43" t="s">
        <v>242</v>
      </c>
      <c r="B80" s="173">
        <v>10400</v>
      </c>
      <c r="C80" s="112">
        <f>C79</f>
        <v>0</v>
      </c>
      <c r="D80" s="79">
        <v>2</v>
      </c>
      <c r="E80" s="46">
        <f t="shared" si="38"/>
        <v>0</v>
      </c>
      <c r="F80" s="64">
        <f t="shared" si="35"/>
        <v>0</v>
      </c>
      <c r="G80" s="112">
        <f t="shared" si="36"/>
        <v>0</v>
      </c>
      <c r="H80" s="154"/>
      <c r="J80" s="288">
        <f t="shared" si="37"/>
        <v>0</v>
      </c>
    </row>
    <row r="81" spans="1:15" ht="54" hidden="1" customHeight="1" outlineLevel="1" x14ac:dyDescent="0.35">
      <c r="A81" s="43" t="s">
        <v>253</v>
      </c>
      <c r="B81" s="173">
        <v>4160</v>
      </c>
      <c r="C81" s="158">
        <f>C72</f>
        <v>0</v>
      </c>
      <c r="D81" s="79">
        <v>1</v>
      </c>
      <c r="E81" s="46">
        <f t="shared" si="38"/>
        <v>0</v>
      </c>
      <c r="F81" s="64">
        <f>E81</f>
        <v>0</v>
      </c>
      <c r="G81" s="158">
        <f>C81</f>
        <v>0</v>
      </c>
      <c r="H81" s="154"/>
      <c r="J81" s="288">
        <f t="shared" si="37"/>
        <v>0</v>
      </c>
    </row>
    <row r="82" spans="1:15" hidden="1" outlineLevel="1" x14ac:dyDescent="0.35">
      <c r="A82" s="43" t="s">
        <v>254</v>
      </c>
      <c r="B82" s="173">
        <v>3900</v>
      </c>
      <c r="C82" s="127">
        <f>C72</f>
        <v>0</v>
      </c>
      <c r="D82" s="47">
        <v>1</v>
      </c>
      <c r="E82" s="46">
        <f t="shared" si="38"/>
        <v>0</v>
      </c>
      <c r="F82" s="64">
        <f>E82</f>
        <v>0</v>
      </c>
      <c r="G82" s="127">
        <f>C82</f>
        <v>0</v>
      </c>
      <c r="H82" s="154"/>
      <c r="J82" s="288">
        <f t="shared" si="37"/>
        <v>0</v>
      </c>
    </row>
    <row r="83" spans="1:15" ht="36" hidden="1" customHeight="1" outlineLevel="1" x14ac:dyDescent="0.35">
      <c r="A83" s="43" t="s">
        <v>255</v>
      </c>
      <c r="B83" s="173">
        <v>2470</v>
      </c>
      <c r="C83" s="127">
        <f>C82</f>
        <v>0</v>
      </c>
      <c r="D83" s="47">
        <v>1</v>
      </c>
      <c r="E83" s="46">
        <f t="shared" si="38"/>
        <v>0</v>
      </c>
      <c r="F83" s="64">
        <f>E83</f>
        <v>0</v>
      </c>
      <c r="G83" s="127">
        <f>C83</f>
        <v>0</v>
      </c>
      <c r="H83" s="154"/>
      <c r="J83" s="288">
        <f t="shared" si="37"/>
        <v>0</v>
      </c>
    </row>
    <row r="84" spans="1:15" ht="124.5" collapsed="1" thickBot="1" x14ac:dyDescent="0.7">
      <c r="A84" s="179" t="s">
        <v>235</v>
      </c>
      <c r="B84" s="17" t="s">
        <v>1</v>
      </c>
      <c r="C84" s="161" t="s">
        <v>2</v>
      </c>
      <c r="D84" s="17"/>
      <c r="E84" s="9" t="s">
        <v>3</v>
      </c>
      <c r="F84" s="152" t="s">
        <v>165</v>
      </c>
      <c r="G84" s="90" t="s">
        <v>142</v>
      </c>
    </row>
    <row r="85" spans="1:15" ht="22.5" thickBot="1" x14ac:dyDescent="0.4">
      <c r="A85" s="59">
        <f>SUM(E86:E102)</f>
        <v>550746</v>
      </c>
      <c r="B85" s="61" t="s">
        <v>4</v>
      </c>
      <c r="C85" s="160" t="s">
        <v>5</v>
      </c>
      <c r="D85" s="61"/>
      <c r="E85" s="62">
        <f>SUM(E86:E94)</f>
        <v>550746</v>
      </c>
      <c r="F85" s="91">
        <f>SUM(F86:F104)</f>
        <v>550746</v>
      </c>
      <c r="G85" s="291" t="s">
        <v>143</v>
      </c>
      <c r="H85" s="153">
        <f>SUM(H86:H94)</f>
        <v>506011</v>
      </c>
      <c r="K85" s="260"/>
    </row>
    <row r="86" spans="1:15" x14ac:dyDescent="0.35">
      <c r="A86" s="43" t="s">
        <v>301</v>
      </c>
      <c r="B86" s="173">
        <v>13000</v>
      </c>
      <c r="C86" s="126">
        <v>14.01</v>
      </c>
      <c r="D86" s="47">
        <v>1</v>
      </c>
      <c r="E86" s="46">
        <f t="shared" ref="E86:E92" si="39">B86*C86</f>
        <v>182130</v>
      </c>
      <c r="F86" s="64">
        <f t="shared" ref="F86:F91" si="40">E86</f>
        <v>182130</v>
      </c>
      <c r="G86" s="526">
        <v>14</v>
      </c>
      <c r="H86" s="528">
        <f t="shared" ref="H86:H91" si="41">(G86*B86*D86)</f>
        <v>182000</v>
      </c>
      <c r="K86" s="260"/>
    </row>
    <row r="87" spans="1:15" x14ac:dyDescent="0.35">
      <c r="A87" s="43" t="s">
        <v>302</v>
      </c>
      <c r="B87" s="173">
        <v>13000</v>
      </c>
      <c r="C87" s="126">
        <v>8.32</v>
      </c>
      <c r="D87" s="47">
        <v>1</v>
      </c>
      <c r="E87" s="46">
        <f t="shared" si="39"/>
        <v>108160</v>
      </c>
      <c r="F87" s="64">
        <f t="shared" ref="F87" si="42">E87</f>
        <v>108160</v>
      </c>
      <c r="G87" s="537">
        <f>C87/2</f>
        <v>4.16</v>
      </c>
      <c r="H87" s="539">
        <f t="shared" si="41"/>
        <v>54080</v>
      </c>
      <c r="K87" s="260"/>
    </row>
    <row r="88" spans="1:15" x14ac:dyDescent="0.35">
      <c r="A88" s="43" t="s">
        <v>303</v>
      </c>
      <c r="B88" s="173">
        <v>13000</v>
      </c>
      <c r="C88" s="106">
        <v>2.85</v>
      </c>
      <c r="D88" s="47">
        <v>1</v>
      </c>
      <c r="E88" s="41">
        <f t="shared" si="39"/>
        <v>37050</v>
      </c>
      <c r="F88" s="64">
        <f t="shared" si="40"/>
        <v>37050</v>
      </c>
      <c r="G88" s="499">
        <f>C88/2</f>
        <v>1.425</v>
      </c>
      <c r="H88" s="500">
        <f t="shared" si="41"/>
        <v>18525</v>
      </c>
      <c r="K88" s="260"/>
      <c r="L88" s="87"/>
      <c r="O88" s="87"/>
    </row>
    <row r="89" spans="1:15" x14ac:dyDescent="0.35">
      <c r="A89" s="43" t="s">
        <v>304</v>
      </c>
      <c r="B89" s="173">
        <v>12000</v>
      </c>
      <c r="C89" s="106">
        <v>12.54</v>
      </c>
      <c r="D89" s="47">
        <v>1</v>
      </c>
      <c r="E89" s="41">
        <f t="shared" si="39"/>
        <v>150480</v>
      </c>
      <c r="F89" s="64">
        <f t="shared" ref="F89:F90" si="43">E89</f>
        <v>150480</v>
      </c>
      <c r="G89" s="499">
        <f>C89</f>
        <v>12.54</v>
      </c>
      <c r="H89" s="500">
        <f t="shared" si="41"/>
        <v>150480</v>
      </c>
      <c r="K89" s="260"/>
      <c r="L89" s="87"/>
      <c r="O89" s="87"/>
    </row>
    <row r="90" spans="1:15" x14ac:dyDescent="0.35">
      <c r="A90" s="43" t="s">
        <v>306</v>
      </c>
      <c r="B90" s="173">
        <v>10000</v>
      </c>
      <c r="C90" s="125">
        <v>1</v>
      </c>
      <c r="D90" s="47">
        <v>1</v>
      </c>
      <c r="E90" s="41">
        <f t="shared" si="39"/>
        <v>10000</v>
      </c>
      <c r="F90" s="64">
        <f t="shared" si="43"/>
        <v>10000</v>
      </c>
      <c r="G90" s="481">
        <f>C90</f>
        <v>1</v>
      </c>
      <c r="H90" s="480">
        <f t="shared" si="41"/>
        <v>10000</v>
      </c>
      <c r="K90" s="260"/>
      <c r="L90" s="87"/>
      <c r="O90" s="87"/>
    </row>
    <row r="91" spans="1:15" x14ac:dyDescent="0.35">
      <c r="A91" s="43" t="s">
        <v>166</v>
      </c>
      <c r="B91" s="173">
        <v>800</v>
      </c>
      <c r="C91" s="106">
        <f>SUM(C86:C90)</f>
        <v>38.72</v>
      </c>
      <c r="D91" s="47">
        <v>1</v>
      </c>
      <c r="E91" s="41">
        <f t="shared" si="39"/>
        <v>30976</v>
      </c>
      <c r="F91" s="64">
        <f t="shared" si="40"/>
        <v>30976</v>
      </c>
      <c r="G91" s="626">
        <f>C91</f>
        <v>38.72</v>
      </c>
      <c r="H91" s="623">
        <f t="shared" si="41"/>
        <v>30976</v>
      </c>
      <c r="I91" s="636"/>
      <c r="J91" s="637"/>
      <c r="K91" s="260"/>
    </row>
    <row r="92" spans="1:15" x14ac:dyDescent="0.35">
      <c r="A92" s="43" t="s">
        <v>266</v>
      </c>
      <c r="B92" s="173">
        <v>1800</v>
      </c>
      <c r="C92" s="106">
        <v>17.75</v>
      </c>
      <c r="D92" s="47">
        <v>1</v>
      </c>
      <c r="E92" s="41">
        <f t="shared" si="39"/>
        <v>31950</v>
      </c>
      <c r="F92" s="64">
        <f t="shared" ref="F92" si="44">E92</f>
        <v>31950</v>
      </c>
      <c r="G92" s="615">
        <f>C92</f>
        <v>17.75</v>
      </c>
      <c r="H92" s="613">
        <f>(G92*B92*D92)</f>
        <v>31950</v>
      </c>
      <c r="K92" s="260"/>
    </row>
    <row r="93" spans="1:15" x14ac:dyDescent="0.35">
      <c r="A93" s="43" t="s">
        <v>354</v>
      </c>
      <c r="B93" s="173">
        <v>13000</v>
      </c>
      <c r="C93" s="168"/>
      <c r="D93" s="47">
        <v>1</v>
      </c>
      <c r="E93" s="41"/>
      <c r="F93" s="64"/>
      <c r="G93" s="535">
        <v>1</v>
      </c>
      <c r="H93" s="530">
        <f>(G93*B93*D93)</f>
        <v>13000</v>
      </c>
      <c r="J93" s="288"/>
      <c r="K93" s="260"/>
    </row>
    <row r="94" spans="1:15" x14ac:dyDescent="0.35">
      <c r="A94" s="43" t="s">
        <v>355</v>
      </c>
      <c r="B94" s="173">
        <v>15000</v>
      </c>
      <c r="C94" s="106"/>
      <c r="D94" s="47">
        <v>1</v>
      </c>
      <c r="E94" s="41"/>
      <c r="F94" s="64"/>
      <c r="G94" s="535">
        <v>1</v>
      </c>
      <c r="H94" s="530">
        <f>(G94*B94*D94)</f>
        <v>15000</v>
      </c>
      <c r="J94" s="527"/>
      <c r="K94" s="260"/>
    </row>
    <row r="95" spans="1:15" hidden="1" outlineLevel="1" x14ac:dyDescent="0.35">
      <c r="A95" s="129" t="s">
        <v>102</v>
      </c>
      <c r="B95" s="130"/>
      <c r="C95" s="293"/>
      <c r="D95" s="131"/>
      <c r="E95" s="44"/>
      <c r="F95" s="69"/>
      <c r="G95" s="121"/>
      <c r="J95" s="288"/>
    </row>
    <row r="96" spans="1:15" hidden="1" outlineLevel="1" x14ac:dyDescent="0.35">
      <c r="A96" s="124"/>
      <c r="B96" s="44"/>
      <c r="C96" s="163"/>
      <c r="D96" s="131"/>
      <c r="E96" s="44"/>
      <c r="F96" s="69"/>
      <c r="G96" s="121"/>
      <c r="J96" s="288"/>
    </row>
    <row r="97" spans="1:11" hidden="1" outlineLevel="1" x14ac:dyDescent="0.35">
      <c r="A97" s="124"/>
      <c r="B97" s="44"/>
      <c r="C97" s="163"/>
      <c r="D97" s="131"/>
      <c r="E97" s="44"/>
      <c r="F97" s="69"/>
      <c r="G97" s="121"/>
      <c r="J97" s="288"/>
    </row>
    <row r="98" spans="1:11" hidden="1" outlineLevel="1" x14ac:dyDescent="0.35">
      <c r="A98" s="124"/>
      <c r="B98" s="44"/>
      <c r="C98" s="163"/>
      <c r="D98" s="131"/>
      <c r="E98" s="44"/>
      <c r="F98" s="69"/>
      <c r="G98" s="121"/>
      <c r="J98" s="288"/>
    </row>
    <row r="99" spans="1:11" hidden="1" outlineLevel="1" x14ac:dyDescent="0.35">
      <c r="A99" s="124"/>
      <c r="B99" s="44"/>
      <c r="C99" s="163"/>
      <c r="D99" s="131"/>
      <c r="E99" s="44"/>
      <c r="F99" s="69"/>
      <c r="G99" s="121"/>
      <c r="J99" s="288"/>
    </row>
    <row r="100" spans="1:11" hidden="1" outlineLevel="1" x14ac:dyDescent="0.35">
      <c r="A100" s="124"/>
      <c r="B100" s="44"/>
      <c r="C100" s="163"/>
      <c r="D100" s="131"/>
      <c r="E100" s="44"/>
      <c r="F100" s="69"/>
      <c r="G100" s="121"/>
      <c r="J100" s="288"/>
    </row>
    <row r="101" spans="1:11" hidden="1" outlineLevel="1" x14ac:dyDescent="0.35">
      <c r="A101" s="124"/>
      <c r="B101" s="44"/>
      <c r="C101" s="163"/>
      <c r="D101" s="131"/>
      <c r="E101" s="44"/>
      <c r="F101" s="69"/>
      <c r="G101" s="121"/>
      <c r="J101" s="288"/>
    </row>
    <row r="102" spans="1:11" hidden="1" outlineLevel="1" x14ac:dyDescent="0.35">
      <c r="A102" s="124"/>
      <c r="B102" s="44"/>
      <c r="C102" s="163"/>
      <c r="D102" s="131"/>
      <c r="E102" s="44"/>
      <c r="F102" s="69"/>
      <c r="G102" s="121"/>
      <c r="J102" s="288"/>
    </row>
    <row r="103" spans="1:11" hidden="1" outlineLevel="1" x14ac:dyDescent="0.35">
      <c r="B103" s="44"/>
      <c r="C103" s="163"/>
      <c r="D103" s="131"/>
      <c r="J103" s="288"/>
    </row>
    <row r="104" spans="1:11" hidden="1" outlineLevel="1" x14ac:dyDescent="0.35">
      <c r="B104" s="44"/>
      <c r="C104" s="163"/>
      <c r="D104" s="131"/>
      <c r="J104" s="288"/>
    </row>
    <row r="105" spans="1:11" ht="186.5" collapsed="1" thickBot="1" x14ac:dyDescent="0.7">
      <c r="A105" s="179" t="s">
        <v>156</v>
      </c>
      <c r="B105" s="17" t="s">
        <v>1</v>
      </c>
      <c r="C105" s="161" t="s">
        <v>2</v>
      </c>
      <c r="D105" s="132" t="s">
        <v>6</v>
      </c>
      <c r="E105" s="9" t="s">
        <v>3</v>
      </c>
      <c r="F105" s="152" t="s">
        <v>165</v>
      </c>
      <c r="G105" s="90" t="s">
        <v>142</v>
      </c>
    </row>
    <row r="106" spans="1:11" ht="22.5" thickBot="1" x14ac:dyDescent="0.4">
      <c r="A106" s="74">
        <f>SUM(E107:E119)</f>
        <v>376901.14</v>
      </c>
      <c r="B106" s="61" t="s">
        <v>4</v>
      </c>
      <c r="C106" s="164" t="s">
        <v>5</v>
      </c>
      <c r="D106" s="75"/>
      <c r="E106" s="76">
        <f>SUM(E107:E120)</f>
        <v>376901.14</v>
      </c>
      <c r="F106" s="194">
        <f>SUM(F107:F119)</f>
        <v>376901.14</v>
      </c>
      <c r="G106" s="291" t="s">
        <v>143</v>
      </c>
      <c r="H106" s="153">
        <f>SUM(H107:H121)</f>
        <v>475085.54</v>
      </c>
      <c r="K106" s="260"/>
    </row>
    <row r="107" spans="1:11" x14ac:dyDescent="0.35">
      <c r="A107" s="43" t="s">
        <v>259</v>
      </c>
      <c r="B107" s="173">
        <f>230*1.2</f>
        <v>276</v>
      </c>
      <c r="C107" s="168">
        <f>B122</f>
        <v>114.73</v>
      </c>
      <c r="D107" s="79">
        <v>1</v>
      </c>
      <c r="E107" s="41">
        <f t="shared" ref="E107:E119" si="45">B107*C107*D107</f>
        <v>31665.48</v>
      </c>
      <c r="F107" s="64">
        <f t="shared" ref="F107:F121" si="46">E107</f>
        <v>31665.48</v>
      </c>
      <c r="G107" s="514">
        <f>G109+45</f>
        <v>87.38</v>
      </c>
      <c r="H107" s="480">
        <f>(G107*B107*D107)</f>
        <v>24116.879999999997</v>
      </c>
    </row>
    <row r="108" spans="1:11" x14ac:dyDescent="0.35">
      <c r="A108" s="43" t="s">
        <v>376</v>
      </c>
      <c r="B108" s="173">
        <v>240</v>
      </c>
      <c r="C108" s="168"/>
      <c r="D108" s="290">
        <v>3</v>
      </c>
      <c r="E108" s="41">
        <f>B108*C108*D108</f>
        <v>0</v>
      </c>
      <c r="F108" s="64">
        <f t="shared" ref="F108" si="47">E108</f>
        <v>0</v>
      </c>
      <c r="G108" s="602">
        <f>G111+G113</f>
        <v>12.33</v>
      </c>
      <c r="H108" s="603">
        <f>G108*D108*B108</f>
        <v>8877.6</v>
      </c>
    </row>
    <row r="109" spans="1:11" s="87" customFormat="1" x14ac:dyDescent="0.35">
      <c r="A109" s="43" t="s">
        <v>263</v>
      </c>
      <c r="B109" s="173">
        <v>650</v>
      </c>
      <c r="C109" s="168">
        <f>C107</f>
        <v>114.73</v>
      </c>
      <c r="D109" s="290">
        <v>2</v>
      </c>
      <c r="E109" s="41">
        <f t="shared" si="45"/>
        <v>149149</v>
      </c>
      <c r="F109" s="64">
        <f t="shared" si="46"/>
        <v>149149</v>
      </c>
      <c r="G109" s="483">
        <v>42.38</v>
      </c>
      <c r="H109" s="480">
        <f>(G109*B109*D109)</f>
        <v>55094</v>
      </c>
      <c r="I109" s="235"/>
    </row>
    <row r="110" spans="1:11" s="595" customFormat="1" ht="31" x14ac:dyDescent="0.35">
      <c r="A110" s="592" t="s">
        <v>375</v>
      </c>
      <c r="B110" s="593">
        <v>585</v>
      </c>
      <c r="C110" s="586"/>
      <c r="D110" s="587">
        <v>4</v>
      </c>
      <c r="E110" s="594">
        <f t="shared" ref="E110" si="48">B110*C110*D110</f>
        <v>0</v>
      </c>
      <c r="F110" s="589">
        <f>E110</f>
        <v>0</v>
      </c>
      <c r="G110" s="584">
        <v>17.7</v>
      </c>
      <c r="H110" s="617">
        <f>G110*D110*B110</f>
        <v>41418</v>
      </c>
    </row>
    <row r="111" spans="1:11" s="550" customFormat="1" x14ac:dyDescent="0.35">
      <c r="A111" s="543" t="s">
        <v>357</v>
      </c>
      <c r="B111" s="544">
        <v>585</v>
      </c>
      <c r="C111" s="545"/>
      <c r="D111" s="546">
        <v>3</v>
      </c>
      <c r="E111" s="547">
        <f t="shared" ref="E111" si="49">B111*C111*D111</f>
        <v>0</v>
      </c>
      <c r="F111" s="548">
        <f>E111</f>
        <v>0</v>
      </c>
      <c r="G111" s="549">
        <v>5.42</v>
      </c>
      <c r="H111" s="539">
        <f>G111*B111*D111</f>
        <v>9512.0999999999985</v>
      </c>
    </row>
    <row r="112" spans="1:11" s="550" customFormat="1" ht="31" x14ac:dyDescent="0.35">
      <c r="A112" s="543" t="s">
        <v>358</v>
      </c>
      <c r="B112" s="544">
        <f>240+B115</f>
        <v>384</v>
      </c>
      <c r="C112" s="545"/>
      <c r="D112" s="546">
        <v>1</v>
      </c>
      <c r="E112" s="547"/>
      <c r="F112" s="548"/>
      <c r="G112" s="616">
        <f>B122</f>
        <v>114.73</v>
      </c>
      <c r="H112" s="539">
        <f>G112*B112</f>
        <v>44056.32</v>
      </c>
    </row>
    <row r="113" spans="1:13" s="572" customFormat="1" ht="31" x14ac:dyDescent="0.35">
      <c r="A113" s="565" t="s">
        <v>367</v>
      </c>
      <c r="B113" s="566">
        <f>585+500</f>
        <v>1085</v>
      </c>
      <c r="C113" s="567"/>
      <c r="D113" s="568">
        <v>3</v>
      </c>
      <c r="E113" s="569">
        <f t="shared" ref="E113" si="50">B113*C113*D113</f>
        <v>0</v>
      </c>
      <c r="F113" s="570">
        <f>E113</f>
        <v>0</v>
      </c>
      <c r="G113" s="571">
        <f>25.07-G86-G87</f>
        <v>6.91</v>
      </c>
      <c r="H113" s="564">
        <f>G113*B113*D113</f>
        <v>22492.050000000003</v>
      </c>
    </row>
    <row r="114" spans="1:13" s="595" customFormat="1" ht="46.5" x14ac:dyDescent="0.35">
      <c r="A114" s="592" t="s">
        <v>374</v>
      </c>
      <c r="B114" s="593">
        <v>585</v>
      </c>
      <c r="C114" s="586">
        <f>B123</f>
        <v>32.86</v>
      </c>
      <c r="D114" s="587">
        <v>3</v>
      </c>
      <c r="E114" s="594">
        <f t="shared" si="45"/>
        <v>57669.299999999996</v>
      </c>
      <c r="F114" s="589">
        <f>E114</f>
        <v>57669.299999999996</v>
      </c>
      <c r="G114" s="584">
        <v>45.93</v>
      </c>
      <c r="H114" s="596">
        <f>G114*D114*B114</f>
        <v>80607.149999999994</v>
      </c>
      <c r="K114" s="595" t="s">
        <v>350</v>
      </c>
    </row>
    <row r="115" spans="1:13" x14ac:dyDescent="0.35">
      <c r="A115" s="43" t="s">
        <v>158</v>
      </c>
      <c r="B115" s="173">
        <f>120*1.2</f>
        <v>144</v>
      </c>
      <c r="C115" s="168">
        <f>C107</f>
        <v>114.73</v>
      </c>
      <c r="D115" s="79">
        <v>2</v>
      </c>
      <c r="E115" s="41">
        <f t="shared" si="45"/>
        <v>33042.239999999998</v>
      </c>
      <c r="F115" s="64">
        <f t="shared" si="46"/>
        <v>33042.239999999998</v>
      </c>
      <c r="G115" s="514">
        <f>G109+G118</f>
        <v>157.11000000000001</v>
      </c>
      <c r="H115" s="480">
        <f>(G115*B115*D115)</f>
        <v>45247.680000000008</v>
      </c>
      <c r="K115" s="87" t="s">
        <v>351</v>
      </c>
    </row>
    <row r="116" spans="1:13" x14ac:dyDescent="0.35">
      <c r="A116" s="43" t="s">
        <v>324</v>
      </c>
      <c r="B116" s="173">
        <f>180*1.2</f>
        <v>216</v>
      </c>
      <c r="C116" s="168">
        <f>C107-20</f>
        <v>94.73</v>
      </c>
      <c r="D116" s="290">
        <v>1</v>
      </c>
      <c r="E116" s="41">
        <f t="shared" si="45"/>
        <v>20461.68</v>
      </c>
      <c r="F116" s="64">
        <f t="shared" ref="F116" si="51">E116</f>
        <v>20461.68</v>
      </c>
      <c r="G116" s="498">
        <f>G114+G89</f>
        <v>58.47</v>
      </c>
      <c r="H116" s="459">
        <f>(G116*B116*D116)</f>
        <v>12629.52</v>
      </c>
      <c r="M116" s="261"/>
    </row>
    <row r="117" spans="1:13" x14ac:dyDescent="0.35">
      <c r="A117" s="43" t="s">
        <v>93</v>
      </c>
      <c r="B117" s="173">
        <v>240</v>
      </c>
      <c r="C117" s="168">
        <f>C107</f>
        <v>114.73</v>
      </c>
      <c r="D117" s="290">
        <v>1</v>
      </c>
      <c r="E117" s="41">
        <f>B117*C117*D117</f>
        <v>27535.200000000001</v>
      </c>
      <c r="F117" s="64">
        <f t="shared" si="46"/>
        <v>27535.200000000001</v>
      </c>
      <c r="G117" s="514">
        <f>G116+G114+45*2</f>
        <v>194.4</v>
      </c>
      <c r="H117" s="480">
        <f>G117*D117*B117</f>
        <v>46656</v>
      </c>
    </row>
    <row r="118" spans="1:13" ht="31" x14ac:dyDescent="0.35">
      <c r="A118" s="43" t="s">
        <v>219</v>
      </c>
      <c r="B118" s="173">
        <f>240*1.2</f>
        <v>288</v>
      </c>
      <c r="C118" s="168">
        <f>C107</f>
        <v>114.73</v>
      </c>
      <c r="D118" s="79">
        <v>1</v>
      </c>
      <c r="E118" s="41">
        <f t="shared" si="45"/>
        <v>33042.239999999998</v>
      </c>
      <c r="F118" s="64">
        <f t="shared" si="46"/>
        <v>33042.239999999998</v>
      </c>
      <c r="G118" s="626">
        <f>C118</f>
        <v>114.73</v>
      </c>
      <c r="H118" s="623">
        <f>(G118*B118*D118)</f>
        <v>33042.239999999998</v>
      </c>
      <c r="I118" s="634"/>
      <c r="J118" s="632"/>
    </row>
    <row r="119" spans="1:13" x14ac:dyDescent="0.35">
      <c r="A119" s="43" t="s">
        <v>264</v>
      </c>
      <c r="B119" s="173">
        <v>480</v>
      </c>
      <c r="C119" s="270">
        <f>C59</f>
        <v>16.899999999999999</v>
      </c>
      <c r="D119" s="290">
        <v>3</v>
      </c>
      <c r="E119" s="41">
        <f t="shared" si="45"/>
        <v>24335.999999999996</v>
      </c>
      <c r="F119" s="64">
        <f>E119</f>
        <v>24335.999999999996</v>
      </c>
      <c r="G119" s="482">
        <f>C119</f>
        <v>16.899999999999999</v>
      </c>
      <c r="H119" s="480">
        <f>(G119*B119*D119)</f>
        <v>24335.999999999996</v>
      </c>
    </row>
    <row r="120" spans="1:13" ht="31" outlineLevel="1" x14ac:dyDescent="0.35">
      <c r="A120" s="614" t="s">
        <v>379</v>
      </c>
      <c r="B120" s="173">
        <v>5000</v>
      </c>
      <c r="C120" s="314"/>
      <c r="D120" s="47">
        <v>1</v>
      </c>
      <c r="E120" s="41">
        <f>B120*C120</f>
        <v>0</v>
      </c>
      <c r="F120" s="64">
        <f t="shared" si="46"/>
        <v>0</v>
      </c>
      <c r="G120" s="622">
        <v>3</v>
      </c>
      <c r="H120" s="623">
        <f>(G120*B120*D120)</f>
        <v>15000</v>
      </c>
      <c r="I120" s="634"/>
      <c r="J120" s="632"/>
    </row>
    <row r="121" spans="1:13" outlineLevel="1" x14ac:dyDescent="0.35">
      <c r="A121" s="614" t="s">
        <v>380</v>
      </c>
      <c r="B121" s="173">
        <v>12000</v>
      </c>
      <c r="C121" s="183"/>
      <c r="D121" s="47">
        <v>1</v>
      </c>
      <c r="E121" s="41">
        <f>B121*C121</f>
        <v>0</v>
      </c>
      <c r="F121" s="64">
        <f t="shared" si="46"/>
        <v>0</v>
      </c>
      <c r="G121" s="622">
        <v>1</v>
      </c>
      <c r="H121" s="623">
        <f>(G121*B121*D121)</f>
        <v>12000</v>
      </c>
      <c r="I121" s="634"/>
      <c r="J121" s="632"/>
    </row>
    <row r="122" spans="1:13" x14ac:dyDescent="0.35">
      <c r="A122" s="124"/>
      <c r="B122" s="243">
        <f>SUM(B123:B127)</f>
        <v>114.73</v>
      </c>
      <c r="C122" s="133"/>
      <c r="D122" s="124"/>
      <c r="E122" s="124"/>
      <c r="F122" s="124"/>
      <c r="G122" s="133"/>
      <c r="H122" s="154"/>
      <c r="J122" s="288"/>
    </row>
    <row r="123" spans="1:13" x14ac:dyDescent="0.35">
      <c r="A123" s="134" t="s">
        <v>174</v>
      </c>
      <c r="B123" s="135">
        <v>32.86</v>
      </c>
      <c r="C123" s="245"/>
      <c r="D123" s="124"/>
      <c r="E123" s="124"/>
      <c r="F123" s="124"/>
      <c r="G123" s="133"/>
      <c r="H123" s="133"/>
      <c r="J123" s="288"/>
    </row>
    <row r="124" spans="1:13" x14ac:dyDescent="0.35">
      <c r="A124" s="134" t="s">
        <v>200</v>
      </c>
      <c r="B124" s="135">
        <v>37.54</v>
      </c>
      <c r="C124" s="133"/>
      <c r="D124" s="124"/>
      <c r="E124" s="124"/>
      <c r="F124" s="124"/>
      <c r="G124" s="133"/>
      <c r="H124" s="133"/>
    </row>
    <row r="125" spans="1:13" x14ac:dyDescent="0.35">
      <c r="A125" s="134" t="s">
        <v>310</v>
      </c>
      <c r="B125" s="135">
        <v>33.69</v>
      </c>
      <c r="C125" s="133"/>
      <c r="D125" s="124"/>
      <c r="E125" s="124"/>
      <c r="F125" s="124"/>
      <c r="G125" s="133"/>
      <c r="H125" s="133"/>
      <c r="I125" s="236"/>
    </row>
    <row r="126" spans="1:13" s="87" customFormat="1" x14ac:dyDescent="0.35">
      <c r="A126" s="134" t="s">
        <v>262</v>
      </c>
      <c r="B126" s="135">
        <f>C126/2</f>
        <v>4.16</v>
      </c>
      <c r="C126" s="135">
        <v>8.32</v>
      </c>
      <c r="D126" s="124"/>
      <c r="E126" s="124"/>
      <c r="F126" s="124"/>
      <c r="G126" s="133"/>
      <c r="H126" s="133"/>
      <c r="I126" s="236"/>
      <c r="J126" s="287"/>
    </row>
    <row r="127" spans="1:13" s="87" customFormat="1" x14ac:dyDescent="0.35">
      <c r="A127" s="134" t="s">
        <v>311</v>
      </c>
      <c r="B127" s="135">
        <f>C127/2</f>
        <v>6.48</v>
      </c>
      <c r="C127" s="135">
        <v>12.96</v>
      </c>
      <c r="D127" s="124"/>
      <c r="E127" s="124"/>
      <c r="F127" s="124"/>
      <c r="G127" s="133"/>
      <c r="H127" s="133"/>
      <c r="I127" s="236"/>
      <c r="J127" s="287"/>
    </row>
    <row r="128" spans="1:13" s="87" customFormat="1" x14ac:dyDescent="0.35">
      <c r="A128" s="134"/>
      <c r="B128" s="135"/>
      <c r="C128" s="133"/>
      <c r="D128" s="124"/>
      <c r="E128" s="124"/>
      <c r="F128" s="124"/>
      <c r="G128" s="133"/>
      <c r="H128" s="133"/>
      <c r="I128" s="236"/>
      <c r="J128" s="287"/>
    </row>
    <row r="129" spans="1:14" s="87" customFormat="1" x14ac:dyDescent="0.35">
      <c r="A129" s="134"/>
      <c r="B129" s="44"/>
      <c r="C129" s="133"/>
      <c r="D129" s="124"/>
      <c r="E129" s="124"/>
      <c r="F129" s="124"/>
      <c r="G129" s="133"/>
      <c r="H129" s="133"/>
      <c r="I129" s="236"/>
      <c r="J129" s="287"/>
    </row>
    <row r="130" spans="1:14" x14ac:dyDescent="0.35">
      <c r="A130" s="43" t="s">
        <v>193</v>
      </c>
      <c r="B130" s="175">
        <v>3900</v>
      </c>
      <c r="C130" s="138"/>
      <c r="D130" s="79">
        <v>1</v>
      </c>
      <c r="E130" s="41">
        <f>B130*C130*D130</f>
        <v>0</v>
      </c>
      <c r="F130" s="65">
        <f>E130</f>
        <v>0</v>
      </c>
      <c r="G130" s="138">
        <f>C130</f>
        <v>0</v>
      </c>
      <c r="J130" s="288"/>
    </row>
    <row r="131" spans="1:14" s="87" customFormat="1" x14ac:dyDescent="0.35">
      <c r="A131" s="43" t="s">
        <v>194</v>
      </c>
      <c r="B131" s="41">
        <v>8000</v>
      </c>
      <c r="C131" s="106"/>
      <c r="D131" s="79">
        <v>1</v>
      </c>
      <c r="E131" s="41">
        <f>B131*C131*D131</f>
        <v>0</v>
      </c>
      <c r="F131" s="64">
        <f>E131</f>
        <v>0</v>
      </c>
      <c r="G131" s="496">
        <v>3</v>
      </c>
      <c r="H131" s="497">
        <f>(G131*B131*D131)</f>
        <v>24000</v>
      </c>
      <c r="I131" s="235"/>
    </row>
    <row r="132" spans="1:14" s="87" customFormat="1" x14ac:dyDescent="0.35">
      <c r="A132" s="43" t="s">
        <v>185</v>
      </c>
      <c r="B132" s="41"/>
      <c r="C132" s="106"/>
      <c r="D132" s="79">
        <v>1</v>
      </c>
      <c r="E132" s="41">
        <f>B132*C132*D132</f>
        <v>0</v>
      </c>
      <c r="F132" s="64">
        <f>E132</f>
        <v>0</v>
      </c>
      <c r="G132" s="106">
        <f>C132</f>
        <v>0</v>
      </c>
      <c r="I132" s="235"/>
      <c r="J132" s="288">
        <f>(G132*B132*D132)</f>
        <v>0</v>
      </c>
    </row>
    <row r="133" spans="1:14" s="87" customFormat="1" collapsed="1" x14ac:dyDescent="0.35">
      <c r="A133" s="134"/>
      <c r="B133" s="135"/>
      <c r="C133" s="133"/>
      <c r="D133" s="124"/>
      <c r="E133" s="124"/>
      <c r="F133" s="124"/>
      <c r="G133" s="133"/>
      <c r="H133" s="133"/>
      <c r="I133" s="236"/>
      <c r="J133" s="287"/>
    </row>
    <row r="134" spans="1:14" ht="63.75" customHeight="1" thickBot="1" x14ac:dyDescent="0.7">
      <c r="A134" s="89" t="s">
        <v>11</v>
      </c>
      <c r="B134" s="17" t="s">
        <v>1</v>
      </c>
      <c r="C134" s="161" t="s">
        <v>2</v>
      </c>
      <c r="D134" s="17"/>
      <c r="E134" s="9" t="s">
        <v>3</v>
      </c>
      <c r="F134" s="152" t="s">
        <v>165</v>
      </c>
      <c r="G134" s="90" t="s">
        <v>142</v>
      </c>
    </row>
    <row r="135" spans="1:14" ht="22.5" thickBot="1" x14ac:dyDescent="0.4">
      <c r="A135" s="59">
        <f>SUM(E136:E141)</f>
        <v>0</v>
      </c>
      <c r="B135" s="61" t="s">
        <v>4</v>
      </c>
      <c r="C135" s="160" t="s">
        <v>5</v>
      </c>
      <c r="D135" s="61"/>
      <c r="E135" s="62">
        <f>SUM(E136:E138)</f>
        <v>0</v>
      </c>
      <c r="F135" s="91">
        <f>SUM(F136:F141)</f>
        <v>0</v>
      </c>
      <c r="G135" s="291" t="s">
        <v>143</v>
      </c>
      <c r="H135" s="153">
        <f>SUM(H136:H141)</f>
        <v>3000</v>
      </c>
    </row>
    <row r="136" spans="1:14" x14ac:dyDescent="0.35">
      <c r="A136" s="43" t="s">
        <v>202</v>
      </c>
      <c r="B136" s="175">
        <v>2600</v>
      </c>
      <c r="C136" s="128"/>
      <c r="D136" s="47">
        <v>1</v>
      </c>
      <c r="E136" s="41">
        <f>B136*C136</f>
        <v>0</v>
      </c>
      <c r="F136" s="64">
        <f>E136</f>
        <v>0</v>
      </c>
      <c r="G136" s="138">
        <f t="shared" ref="G136:G139" si="52">C136</f>
        <v>0</v>
      </c>
      <c r="H136" s="154"/>
      <c r="J136" s="288">
        <f t="shared" ref="J136:J141" si="53">(G136*B136*D136)</f>
        <v>0</v>
      </c>
    </row>
    <row r="137" spans="1:14" x14ac:dyDescent="0.35">
      <c r="A137" s="43" t="s">
        <v>215</v>
      </c>
      <c r="B137" s="175">
        <v>2340</v>
      </c>
      <c r="C137" s="168"/>
      <c r="D137" s="47">
        <v>1</v>
      </c>
      <c r="E137" s="41">
        <f>B137*C137</f>
        <v>0</v>
      </c>
      <c r="F137" s="64">
        <f>E137</f>
        <v>0</v>
      </c>
      <c r="G137" s="168">
        <f>C137</f>
        <v>0</v>
      </c>
      <c r="H137" s="154"/>
      <c r="J137" s="288">
        <f t="shared" si="53"/>
        <v>0</v>
      </c>
    </row>
    <row r="138" spans="1:14" x14ac:dyDescent="0.35">
      <c r="A138" s="43" t="s">
        <v>167</v>
      </c>
      <c r="B138" s="175">
        <v>5850</v>
      </c>
      <c r="C138" s="137"/>
      <c r="D138" s="47">
        <v>1</v>
      </c>
      <c r="E138" s="41">
        <f>B138*C138</f>
        <v>0</v>
      </c>
      <c r="F138" s="64">
        <f>E138</f>
        <v>0</v>
      </c>
      <c r="G138" s="137">
        <f t="shared" si="52"/>
        <v>0</v>
      </c>
      <c r="H138" s="154"/>
      <c r="J138" s="288">
        <f t="shared" si="53"/>
        <v>0</v>
      </c>
    </row>
    <row r="139" spans="1:14" x14ac:dyDescent="0.35">
      <c r="A139" s="43" t="s">
        <v>168</v>
      </c>
      <c r="B139" s="175">
        <v>9100</v>
      </c>
      <c r="C139" s="106"/>
      <c r="D139" s="47">
        <v>1</v>
      </c>
      <c r="E139" s="41">
        <f>B138*C139</f>
        <v>0</v>
      </c>
      <c r="F139" s="64">
        <f>E139</f>
        <v>0</v>
      </c>
      <c r="G139" s="106">
        <f t="shared" si="52"/>
        <v>0</v>
      </c>
      <c r="H139" s="154"/>
      <c r="J139" s="288">
        <f t="shared" si="53"/>
        <v>0</v>
      </c>
    </row>
    <row r="140" spans="1:14" x14ac:dyDescent="0.35">
      <c r="A140" s="614" t="s">
        <v>378</v>
      </c>
      <c r="B140" s="175">
        <v>3000</v>
      </c>
      <c r="C140" s="138"/>
      <c r="D140" s="47">
        <v>1</v>
      </c>
      <c r="E140" s="41">
        <f>B140*C140</f>
        <v>0</v>
      </c>
      <c r="F140" s="64">
        <f>E140</f>
        <v>0</v>
      </c>
      <c r="G140" s="625">
        <v>1</v>
      </c>
      <c r="H140" s="623">
        <f>(G140*B140*D140)</f>
        <v>3000</v>
      </c>
      <c r="I140" s="634"/>
      <c r="J140" s="632"/>
    </row>
    <row r="141" spans="1:14" x14ac:dyDescent="0.35">
      <c r="A141" s="124"/>
      <c r="B141" s="175"/>
      <c r="C141" s="165"/>
      <c r="D141" s="131"/>
      <c r="E141" s="44"/>
      <c r="F141" s="44"/>
      <c r="G141" s="122"/>
      <c r="H141" s="154"/>
      <c r="J141" s="288">
        <f t="shared" si="53"/>
        <v>0</v>
      </c>
    </row>
    <row r="142" spans="1:14" ht="81.75" customHeight="1" thickBot="1" x14ac:dyDescent="0.7">
      <c r="A142" s="89" t="s">
        <v>12</v>
      </c>
      <c r="B142" s="17" t="s">
        <v>1</v>
      </c>
      <c r="C142" s="161" t="s">
        <v>2</v>
      </c>
      <c r="D142" s="17"/>
      <c r="E142" s="9" t="s">
        <v>3</v>
      </c>
      <c r="F142" s="152" t="s">
        <v>169</v>
      </c>
      <c r="G142" s="90" t="s">
        <v>142</v>
      </c>
    </row>
    <row r="143" spans="1:14" ht="22.5" thickBot="1" x14ac:dyDescent="0.4">
      <c r="A143" s="59">
        <f>SUM(E144:E148)</f>
        <v>118000</v>
      </c>
      <c r="B143" s="61" t="s">
        <v>4</v>
      </c>
      <c r="C143" s="160" t="s">
        <v>5</v>
      </c>
      <c r="D143" s="61"/>
      <c r="E143" s="62">
        <f>SUM(E144:E148)</f>
        <v>118000</v>
      </c>
      <c r="F143" s="91">
        <f>SUM(F144:F149)</f>
        <v>132000</v>
      </c>
      <c r="G143" s="291" t="s">
        <v>143</v>
      </c>
      <c r="H143" s="153">
        <f>SUM(H144:H149)</f>
        <v>220200</v>
      </c>
      <c r="K143" s="272"/>
    </row>
    <row r="144" spans="1:14" s="87" customFormat="1" ht="77.5" x14ac:dyDescent="0.35">
      <c r="A144" s="43" t="s">
        <v>278</v>
      </c>
      <c r="B144" s="175">
        <v>3600</v>
      </c>
      <c r="C144" s="125">
        <v>5</v>
      </c>
      <c r="D144" s="47">
        <v>1</v>
      </c>
      <c r="E144" s="46">
        <f t="shared" ref="E144:E149" si="54">B144*C144</f>
        <v>18000</v>
      </c>
      <c r="F144" s="64">
        <f t="shared" ref="F144:F148" si="55">E144</f>
        <v>18000</v>
      </c>
      <c r="G144" s="635">
        <v>17</v>
      </c>
      <c r="H144" s="564">
        <f t="shared" ref="H144:H149" si="56">(G144*B144*D144)</f>
        <v>61200</v>
      </c>
      <c r="I144" s="235"/>
      <c r="K144"/>
      <c r="L144" s="40"/>
      <c r="M144" s="40"/>
      <c r="N144" s="40"/>
    </row>
    <row r="145" spans="1:14" s="281" customFormat="1" ht="91.25" customHeight="1" x14ac:dyDescent="0.35">
      <c r="A145" s="43" t="s">
        <v>279</v>
      </c>
      <c r="B145" s="175">
        <v>1500</v>
      </c>
      <c r="C145" s="112">
        <v>30</v>
      </c>
      <c r="D145" s="47">
        <v>1</v>
      </c>
      <c r="E145" s="46">
        <f t="shared" si="54"/>
        <v>45000</v>
      </c>
      <c r="F145" s="64">
        <f t="shared" si="55"/>
        <v>45000</v>
      </c>
      <c r="G145" s="635">
        <v>44</v>
      </c>
      <c r="H145" s="613">
        <f t="shared" si="56"/>
        <v>66000</v>
      </c>
      <c r="I145" s="283"/>
      <c r="K145" s="272"/>
      <c r="L145" s="40"/>
      <c r="M145" s="40"/>
      <c r="N145" s="40"/>
    </row>
    <row r="146" spans="1:14" x14ac:dyDescent="0.35">
      <c r="A146" s="627" t="s">
        <v>391</v>
      </c>
      <c r="B146" s="633">
        <v>24000</v>
      </c>
      <c r="C146" s="242"/>
      <c r="D146" s="47">
        <v>1</v>
      </c>
      <c r="E146" s="46">
        <f t="shared" si="54"/>
        <v>0</v>
      </c>
      <c r="F146" s="64">
        <f t="shared" si="55"/>
        <v>0</v>
      </c>
      <c r="G146" s="624">
        <v>1</v>
      </c>
      <c r="H146" s="621">
        <f t="shared" si="56"/>
        <v>24000</v>
      </c>
      <c r="I146" s="634"/>
      <c r="J146" s="621"/>
      <c r="K146" s="272"/>
    </row>
    <row r="147" spans="1:14" ht="15" customHeight="1" x14ac:dyDescent="0.35">
      <c r="A147" s="43" t="s">
        <v>199</v>
      </c>
      <c r="B147" s="175">
        <v>20000</v>
      </c>
      <c r="C147" s="112">
        <v>1</v>
      </c>
      <c r="D147" s="47">
        <v>1</v>
      </c>
      <c r="E147" s="41">
        <f t="shared" si="54"/>
        <v>20000</v>
      </c>
      <c r="F147" s="64">
        <f t="shared" si="55"/>
        <v>20000</v>
      </c>
      <c r="G147" s="612">
        <f t="shared" ref="G147:G148" si="57">C147</f>
        <v>1</v>
      </c>
      <c r="H147" s="613">
        <f t="shared" si="56"/>
        <v>20000</v>
      </c>
    </row>
    <row r="148" spans="1:14" ht="15" customHeight="1" x14ac:dyDescent="0.35">
      <c r="A148" s="43" t="s">
        <v>260</v>
      </c>
      <c r="B148" s="175">
        <v>35000</v>
      </c>
      <c r="C148" s="112">
        <v>1</v>
      </c>
      <c r="D148" s="47">
        <v>1</v>
      </c>
      <c r="E148" s="41">
        <f t="shared" si="54"/>
        <v>35000</v>
      </c>
      <c r="F148" s="64">
        <f t="shared" si="55"/>
        <v>35000</v>
      </c>
      <c r="G148" s="112">
        <f t="shared" si="57"/>
        <v>1</v>
      </c>
      <c r="H148" s="438">
        <f t="shared" si="56"/>
        <v>35000</v>
      </c>
    </row>
    <row r="149" spans="1:14" x14ac:dyDescent="0.35">
      <c r="A149" s="43" t="s">
        <v>282</v>
      </c>
      <c r="B149" s="175">
        <v>7000</v>
      </c>
      <c r="C149" s="112">
        <v>2</v>
      </c>
      <c r="D149" s="47">
        <v>1</v>
      </c>
      <c r="E149" s="41">
        <f t="shared" si="54"/>
        <v>14000</v>
      </c>
      <c r="F149" s="64">
        <f t="shared" ref="F149" si="58">E149</f>
        <v>14000</v>
      </c>
      <c r="G149" s="513">
        <f>C149</f>
        <v>2</v>
      </c>
      <c r="H149" s="512">
        <f t="shared" si="56"/>
        <v>14000</v>
      </c>
    </row>
    <row r="150" spans="1:14" ht="63.75" customHeight="1" thickBot="1" x14ac:dyDescent="0.7">
      <c r="A150" s="89" t="s">
        <v>13</v>
      </c>
      <c r="B150" s="17" t="s">
        <v>1</v>
      </c>
      <c r="C150" s="161" t="s">
        <v>2</v>
      </c>
      <c r="D150" s="17"/>
      <c r="E150" s="9" t="s">
        <v>3</v>
      </c>
      <c r="F150" s="152" t="s">
        <v>169</v>
      </c>
      <c r="G150" s="90" t="s">
        <v>142</v>
      </c>
    </row>
    <row r="151" spans="1:14" ht="22.5" thickBot="1" x14ac:dyDescent="0.4">
      <c r="A151" s="59">
        <f>SUM(E152:E153)</f>
        <v>0</v>
      </c>
      <c r="B151" s="61" t="s">
        <v>4</v>
      </c>
      <c r="C151" s="160" t="s">
        <v>5</v>
      </c>
      <c r="D151" s="61"/>
      <c r="E151" s="62">
        <f>SUM(E152:E153)</f>
        <v>0</v>
      </c>
      <c r="F151" s="91">
        <f>SUM(F152:F153)</f>
        <v>0</v>
      </c>
      <c r="G151" s="291" t="s">
        <v>143</v>
      </c>
      <c r="H151" s="153">
        <f>SUM(H152:H153)</f>
        <v>0</v>
      </c>
    </row>
    <row r="152" spans="1:14" ht="46.5" hidden="1" outlineLevel="1" x14ac:dyDescent="0.35">
      <c r="A152" s="45" t="s">
        <v>198</v>
      </c>
      <c r="B152" s="175">
        <v>19500</v>
      </c>
      <c r="C152" s="136"/>
      <c r="D152" s="47">
        <v>1</v>
      </c>
      <c r="E152" s="46">
        <f>B152*C152</f>
        <v>0</v>
      </c>
      <c r="F152" s="64">
        <f>E152</f>
        <v>0</v>
      </c>
      <c r="G152" s="136">
        <f>C152</f>
        <v>0</v>
      </c>
      <c r="H152" s="154"/>
      <c r="J152" s="288">
        <f>(G152*B152*D152)</f>
        <v>0</v>
      </c>
    </row>
    <row r="153" spans="1:14" ht="49.25" hidden="1" customHeight="1" outlineLevel="1" x14ac:dyDescent="0.35">
      <c r="A153" s="43" t="s">
        <v>89</v>
      </c>
      <c r="B153" s="175">
        <v>0</v>
      </c>
      <c r="C153" s="112"/>
      <c r="D153" s="47">
        <v>1</v>
      </c>
      <c r="E153" s="46">
        <f>B153*C153</f>
        <v>0</v>
      </c>
      <c r="F153" s="64">
        <f>E153*0.85</f>
        <v>0</v>
      </c>
      <c r="G153" s="112">
        <f>C153</f>
        <v>0</v>
      </c>
      <c r="H153" s="154">
        <f>(G153*B153*D153)*0.85</f>
        <v>0</v>
      </c>
    </row>
    <row r="154" spans="1:14" ht="87" customHeight="1" collapsed="1" thickBot="1" x14ac:dyDescent="0.7">
      <c r="A154" s="89" t="s">
        <v>112</v>
      </c>
      <c r="B154" s="17" t="s">
        <v>1</v>
      </c>
      <c r="C154" s="161" t="s">
        <v>2</v>
      </c>
      <c r="D154" s="17"/>
      <c r="E154" s="9" t="s">
        <v>3</v>
      </c>
      <c r="F154" s="152" t="s">
        <v>169</v>
      </c>
      <c r="G154" s="90" t="s">
        <v>142</v>
      </c>
    </row>
    <row r="155" spans="1:14" ht="22.5" thickBot="1" x14ac:dyDescent="0.4">
      <c r="A155" s="59">
        <f>SUM(E156:E159)</f>
        <v>0</v>
      </c>
      <c r="B155" s="61" t="s">
        <v>4</v>
      </c>
      <c r="C155" s="160" t="s">
        <v>5</v>
      </c>
      <c r="D155" s="61"/>
      <c r="E155" s="62">
        <f>SUM(E156:E156)</f>
        <v>0</v>
      </c>
      <c r="F155" s="91">
        <f>SUM(F156:F157)</f>
        <v>0</v>
      </c>
      <c r="G155" s="291" t="s">
        <v>143</v>
      </c>
      <c r="H155" s="153">
        <f>SUM(H156:H159)</f>
        <v>0</v>
      </c>
    </row>
    <row r="156" spans="1:14" ht="31" hidden="1" outlineLevel="1" x14ac:dyDescent="0.35">
      <c r="A156" s="43" t="s">
        <v>211</v>
      </c>
      <c r="B156" s="175">
        <v>13000</v>
      </c>
      <c r="C156" s="169"/>
      <c r="D156" s="47">
        <v>1</v>
      </c>
      <c r="E156" s="46">
        <f>B156*C156</f>
        <v>0</v>
      </c>
      <c r="F156" s="64">
        <f>E156</f>
        <v>0</v>
      </c>
      <c r="G156" s="125">
        <f>C156</f>
        <v>0</v>
      </c>
      <c r="H156" s="154"/>
      <c r="J156" s="288">
        <f>(G156*B156*D156)</f>
        <v>0</v>
      </c>
    </row>
    <row r="157" spans="1:14" ht="31" hidden="1" outlineLevel="1" x14ac:dyDescent="0.35">
      <c r="A157" s="43" t="s">
        <v>115</v>
      </c>
      <c r="B157" s="175">
        <v>6500</v>
      </c>
      <c r="C157" s="112"/>
      <c r="D157" s="42">
        <v>1</v>
      </c>
      <c r="E157" s="41">
        <f>B157*C157</f>
        <v>0</v>
      </c>
      <c r="F157" s="64">
        <f>E157</f>
        <v>0</v>
      </c>
      <c r="G157" s="125">
        <f>C157</f>
        <v>0</v>
      </c>
      <c r="H157" s="154"/>
      <c r="J157" s="288">
        <f>(G157*B157*D157)</f>
        <v>0</v>
      </c>
    </row>
    <row r="158" spans="1:14" ht="31" hidden="1" outlineLevel="1" x14ac:dyDescent="0.35">
      <c r="A158" s="43" t="s">
        <v>211</v>
      </c>
      <c r="B158" s="175">
        <v>10400</v>
      </c>
      <c r="C158" s="169"/>
      <c r="D158" s="42">
        <v>1</v>
      </c>
      <c r="E158" s="41">
        <f>B158*C158</f>
        <v>0</v>
      </c>
      <c r="F158" s="64">
        <f>E158*0.85</f>
        <v>0</v>
      </c>
      <c r="G158" s="121"/>
      <c r="H158" s="154">
        <f>(G158*B158*D158)*0.85</f>
        <v>0</v>
      </c>
    </row>
    <row r="159" spans="1:14" hidden="1" outlineLevel="1" x14ac:dyDescent="0.35">
      <c r="A159" s="43"/>
      <c r="B159" s="175">
        <v>0</v>
      </c>
      <c r="C159" s="166">
        <v>0</v>
      </c>
      <c r="D159" s="42">
        <v>1</v>
      </c>
      <c r="E159" s="41">
        <f>B159*C159</f>
        <v>0</v>
      </c>
      <c r="F159" s="64">
        <f>E159*0.85</f>
        <v>0</v>
      </c>
      <c r="G159" s="121"/>
      <c r="H159" s="154">
        <f>(G159*B159*D159)*0.85</f>
        <v>0</v>
      </c>
    </row>
    <row r="160" spans="1:14" hidden="1" outlineLevel="1" collapsed="1" x14ac:dyDescent="0.35"/>
    <row r="161" spans="1:13" ht="83.5" customHeight="1" collapsed="1" thickBot="1" x14ac:dyDescent="0.7">
      <c r="A161" s="89" t="s">
        <v>25</v>
      </c>
      <c r="B161" s="17" t="s">
        <v>1</v>
      </c>
      <c r="C161" s="161" t="s">
        <v>2</v>
      </c>
      <c r="D161" s="17"/>
      <c r="E161" s="9" t="s">
        <v>3</v>
      </c>
      <c r="F161" s="152" t="s">
        <v>169</v>
      </c>
      <c r="G161" s="90" t="s">
        <v>142</v>
      </c>
      <c r="J161" s="288"/>
    </row>
    <row r="162" spans="1:13" ht="22.5" thickBot="1" x14ac:dyDescent="0.4">
      <c r="A162" s="59">
        <f>SUM(E163:E167)</f>
        <v>287137.77777777775</v>
      </c>
      <c r="B162" s="61" t="s">
        <v>4</v>
      </c>
      <c r="C162" s="160" t="s">
        <v>5</v>
      </c>
      <c r="D162" s="61"/>
      <c r="E162" s="62">
        <f>SUM(E163:E166)</f>
        <v>287137.77777777775</v>
      </c>
      <c r="F162" s="91">
        <f>SUM(F163:F165)</f>
        <v>227137.77777777778</v>
      </c>
      <c r="G162" s="291" t="s">
        <v>143</v>
      </c>
      <c r="H162" s="153">
        <f>SUM(H163:H166)</f>
        <v>30000</v>
      </c>
    </row>
    <row r="163" spans="1:13" x14ac:dyDescent="0.35">
      <c r="A163" s="45" t="s">
        <v>307</v>
      </c>
      <c r="B163" s="175">
        <v>18000</v>
      </c>
      <c r="C163" s="259">
        <f>P27</f>
        <v>9.8755555555555556</v>
      </c>
      <c r="D163" s="47">
        <v>1</v>
      </c>
      <c r="E163" s="46">
        <f>B163*C163</f>
        <v>177760</v>
      </c>
      <c r="F163" s="64">
        <f t="shared" ref="F163:F168" si="59">E163</f>
        <v>177760</v>
      </c>
      <c r="G163" s="292"/>
      <c r="J163" s="288">
        <f>(G163*B163*D163)</f>
        <v>0</v>
      </c>
      <c r="K163" s="87"/>
    </row>
    <row r="164" spans="1:13" x14ac:dyDescent="0.35">
      <c r="A164" s="45" t="s">
        <v>308</v>
      </c>
      <c r="B164" s="175">
        <v>5000</v>
      </c>
      <c r="C164" s="259">
        <f>C163</f>
        <v>9.8755555555555556</v>
      </c>
      <c r="D164" s="47">
        <v>1</v>
      </c>
      <c r="E164" s="46">
        <f>B164*C164</f>
        <v>49377.777777777781</v>
      </c>
      <c r="F164" s="64">
        <f t="shared" si="59"/>
        <v>49377.777777777781</v>
      </c>
      <c r="G164" s="447">
        <v>2</v>
      </c>
      <c r="H164" s="288">
        <f>(G164*B164*D164)</f>
        <v>10000</v>
      </c>
      <c r="K164" s="87"/>
    </row>
    <row r="165" spans="1:13" x14ac:dyDescent="0.35">
      <c r="A165" s="43" t="s">
        <v>84</v>
      </c>
      <c r="B165" s="175">
        <v>35000</v>
      </c>
      <c r="C165" s="112"/>
      <c r="D165" s="42">
        <v>1</v>
      </c>
      <c r="E165" s="41">
        <f>B165*C165</f>
        <v>0</v>
      </c>
      <c r="F165" s="64">
        <f t="shared" si="59"/>
        <v>0</v>
      </c>
      <c r="G165" s="112">
        <f>C165</f>
        <v>0</v>
      </c>
      <c r="J165" s="288">
        <f t="shared" ref="J165" si="60">(G165*B165*D165)</f>
        <v>0</v>
      </c>
    </row>
    <row r="166" spans="1:13" x14ac:dyDescent="0.35">
      <c r="A166" s="300" t="s">
        <v>291</v>
      </c>
      <c r="B166" s="427">
        <v>20000</v>
      </c>
      <c r="C166" s="167">
        <v>3</v>
      </c>
      <c r="D166" s="42">
        <v>1</v>
      </c>
      <c r="E166" s="41">
        <f>B166*C166</f>
        <v>60000</v>
      </c>
      <c r="F166" s="64">
        <f t="shared" si="59"/>
        <v>60000</v>
      </c>
      <c r="G166" s="511">
        <v>1</v>
      </c>
      <c r="H166" s="512">
        <f>(G166*B166*D166)</f>
        <v>20000</v>
      </c>
    </row>
    <row r="167" spans="1:13" hidden="1" outlineLevel="1" x14ac:dyDescent="0.35">
      <c r="A167" s="43"/>
      <c r="B167" s="175">
        <v>0</v>
      </c>
      <c r="C167" s="167">
        <v>0</v>
      </c>
      <c r="D167" s="42"/>
      <c r="E167" s="41">
        <f>B167*C167</f>
        <v>0</v>
      </c>
      <c r="F167" s="64">
        <f t="shared" si="59"/>
        <v>0</v>
      </c>
      <c r="G167" s="121"/>
      <c r="J167" s="288">
        <f>(G167*B167*D167)*0.95</f>
        <v>0</v>
      </c>
    </row>
    <row r="168" spans="1:13" hidden="1" outlineLevel="1" x14ac:dyDescent="0.35">
      <c r="F168" s="64">
        <f t="shared" si="59"/>
        <v>0</v>
      </c>
      <c r="J168" s="288">
        <f>(G168*B168*D168)*0.95</f>
        <v>0</v>
      </c>
    </row>
    <row r="169" spans="1:13" ht="63.75" customHeight="1" collapsed="1" thickBot="1" x14ac:dyDescent="0.7">
      <c r="A169" s="89" t="s">
        <v>14</v>
      </c>
      <c r="B169" s="17" t="s">
        <v>1</v>
      </c>
      <c r="C169" s="161" t="s">
        <v>2</v>
      </c>
      <c r="D169" s="17"/>
      <c r="E169" s="9" t="s">
        <v>3</v>
      </c>
      <c r="F169" s="152" t="s">
        <v>165</v>
      </c>
      <c r="G169" s="90" t="s">
        <v>142</v>
      </c>
    </row>
    <row r="170" spans="1:13" ht="22.5" thickBot="1" x14ac:dyDescent="0.4">
      <c r="A170" s="59">
        <f>SUM(E171:E187)</f>
        <v>23400</v>
      </c>
      <c r="B170" s="61" t="s">
        <v>4</v>
      </c>
      <c r="C170" s="160" t="s">
        <v>5</v>
      </c>
      <c r="D170" s="61"/>
      <c r="E170" s="62">
        <f>SUM(E171:E172)</f>
        <v>23400</v>
      </c>
      <c r="F170" s="91">
        <f>SUM(F171:F179)</f>
        <v>23400</v>
      </c>
      <c r="G170" s="291" t="s">
        <v>143</v>
      </c>
      <c r="H170" s="153">
        <f>SUM(H171:H187)</f>
        <v>171400</v>
      </c>
    </row>
    <row r="171" spans="1:13" x14ac:dyDescent="0.35">
      <c r="A171" s="465" t="s">
        <v>343</v>
      </c>
      <c r="B171" s="175">
        <v>11700</v>
      </c>
      <c r="C171" s="136">
        <v>2</v>
      </c>
      <c r="D171" s="42">
        <v>1</v>
      </c>
      <c r="E171" s="46">
        <f t="shared" ref="E171:E183" si="61">B171*C171</f>
        <v>23400</v>
      </c>
      <c r="F171" s="64">
        <f>E171</f>
        <v>23400</v>
      </c>
      <c r="G171" s="466">
        <f t="shared" ref="G171:G189" si="62">C171</f>
        <v>2</v>
      </c>
      <c r="H171" s="460">
        <f>(G171*B171*D171)</f>
        <v>23400</v>
      </c>
    </row>
    <row r="172" spans="1:13" s="538" customFormat="1" x14ac:dyDescent="0.35">
      <c r="A172" s="543" t="s">
        <v>356</v>
      </c>
      <c r="B172" s="547">
        <v>36000</v>
      </c>
      <c r="C172" s="552"/>
      <c r="D172" s="553">
        <v>1</v>
      </c>
      <c r="E172" s="547">
        <f t="shared" si="61"/>
        <v>0</v>
      </c>
      <c r="F172" s="548">
        <f>E172</f>
        <v>0</v>
      </c>
      <c r="G172" s="552">
        <v>1</v>
      </c>
      <c r="H172" s="539">
        <v>30000</v>
      </c>
      <c r="I172" s="235"/>
      <c r="J172" s="287"/>
      <c r="K172" s="40"/>
    </row>
    <row r="173" spans="1:13" ht="31" x14ac:dyDescent="0.35">
      <c r="A173" s="277" t="s">
        <v>277</v>
      </c>
      <c r="B173" s="175">
        <v>3000</v>
      </c>
      <c r="C173" s="125"/>
      <c r="D173" s="42">
        <v>1</v>
      </c>
      <c r="E173" s="41">
        <f t="shared" si="61"/>
        <v>0</v>
      </c>
      <c r="F173" s="64">
        <f t="shared" ref="F173:F183" si="63">E173*0.85</f>
        <v>0</v>
      </c>
      <c r="G173" s="622">
        <v>3</v>
      </c>
      <c r="H173" s="623">
        <f>(G173*B173*D173)</f>
        <v>9000</v>
      </c>
      <c r="L173" s="207" t="s">
        <v>362</v>
      </c>
      <c r="M173" s="555">
        <f>12958/2</f>
        <v>6479</v>
      </c>
    </row>
    <row r="174" spans="1:13" x14ac:dyDescent="0.35">
      <c r="A174" s="556" t="s">
        <v>366</v>
      </c>
      <c r="B174" s="201"/>
      <c r="C174" s="557"/>
      <c r="D174" s="558"/>
      <c r="E174" s="201"/>
      <c r="F174" s="559"/>
      <c r="G174" s="557"/>
      <c r="H174" s="560"/>
      <c r="J174" s="288"/>
      <c r="L174" s="207" t="s">
        <v>363</v>
      </c>
      <c r="M174" s="555">
        <v>7799</v>
      </c>
    </row>
    <row r="175" spans="1:13" s="591" customFormat="1" x14ac:dyDescent="0.35">
      <c r="A175" s="585" t="s">
        <v>368</v>
      </c>
      <c r="B175" s="588">
        <v>30000</v>
      </c>
      <c r="C175" s="598"/>
      <c r="D175" s="597">
        <v>1</v>
      </c>
      <c r="E175" s="588"/>
      <c r="F175" s="589"/>
      <c r="G175" s="598">
        <v>1</v>
      </c>
      <c r="H175" s="590">
        <f>(G175*B175*D175)</f>
        <v>30000</v>
      </c>
      <c r="J175" s="590"/>
      <c r="L175" s="599" t="s">
        <v>364</v>
      </c>
      <c r="M175" s="600">
        <v>10198</v>
      </c>
    </row>
    <row r="176" spans="1:13" x14ac:dyDescent="0.35">
      <c r="A176" s="565" t="s">
        <v>369</v>
      </c>
      <c r="B176" s="569">
        <v>15000</v>
      </c>
      <c r="C176" s="573"/>
      <c r="D176" s="574">
        <v>1</v>
      </c>
      <c r="E176" s="569">
        <f t="shared" si="61"/>
        <v>0</v>
      </c>
      <c r="F176" s="570">
        <f t="shared" si="63"/>
        <v>0</v>
      </c>
      <c r="G176" s="573">
        <v>1</v>
      </c>
      <c r="H176" s="564">
        <f>(G176*B176*D176)</f>
        <v>15000</v>
      </c>
      <c r="J176" s="40"/>
      <c r="K176" s="87"/>
      <c r="L176" s="207" t="s">
        <v>365</v>
      </c>
      <c r="M176" s="555">
        <f>+M173+M174-M175</f>
        <v>4080</v>
      </c>
    </row>
    <row r="177" spans="1:11" s="281" customFormat="1" x14ac:dyDescent="0.35">
      <c r="A177" s="627" t="s">
        <v>381</v>
      </c>
      <c r="B177" s="175">
        <v>25000</v>
      </c>
      <c r="C177" s="296"/>
      <c r="D177" s="295">
        <v>1</v>
      </c>
      <c r="E177" s="294">
        <f t="shared" si="61"/>
        <v>0</v>
      </c>
      <c r="F177" s="284">
        <f t="shared" si="63"/>
        <v>0</v>
      </c>
      <c r="G177" s="622">
        <v>1</v>
      </c>
      <c r="H177" s="623">
        <f>(G177*B177*D177)</f>
        <v>25000</v>
      </c>
      <c r="I177" s="235"/>
      <c r="K177" s="281" t="s">
        <v>281</v>
      </c>
    </row>
    <row r="178" spans="1:11" x14ac:dyDescent="0.35">
      <c r="A178" s="627" t="s">
        <v>382</v>
      </c>
      <c r="B178" s="175">
        <v>2000</v>
      </c>
      <c r="C178" s="126"/>
      <c r="D178" s="42">
        <v>1</v>
      </c>
      <c r="E178" s="46">
        <f t="shared" si="61"/>
        <v>0</v>
      </c>
      <c r="F178" s="64">
        <f t="shared" si="63"/>
        <v>0</v>
      </c>
      <c r="G178" s="622">
        <v>3</v>
      </c>
      <c r="H178" s="623">
        <f>(G178*B178*D178)</f>
        <v>6000</v>
      </c>
      <c r="K178" s="87"/>
    </row>
    <row r="179" spans="1:11" s="281" customFormat="1" x14ac:dyDescent="0.35">
      <c r="A179" s="627" t="s">
        <v>392</v>
      </c>
      <c r="B179" s="175">
        <v>3000</v>
      </c>
      <c r="C179" s="296"/>
      <c r="D179" s="295">
        <v>1</v>
      </c>
      <c r="E179" s="294">
        <f t="shared" si="61"/>
        <v>0</v>
      </c>
      <c r="F179" s="284">
        <f>+E179</f>
        <v>0</v>
      </c>
      <c r="G179" s="622">
        <v>1</v>
      </c>
      <c r="H179" s="623">
        <f>(G179*B179*D179)</f>
        <v>3000</v>
      </c>
      <c r="I179" s="235"/>
      <c r="J179" s="288"/>
    </row>
    <row r="180" spans="1:11" ht="31" x14ac:dyDescent="0.35">
      <c r="A180" s="627" t="s">
        <v>383</v>
      </c>
      <c r="B180" s="175">
        <v>30000</v>
      </c>
      <c r="C180" s="125"/>
      <c r="D180" s="42">
        <v>1</v>
      </c>
      <c r="E180" s="41">
        <f t="shared" si="61"/>
        <v>0</v>
      </c>
      <c r="F180" s="64">
        <f t="shared" si="63"/>
        <v>0</v>
      </c>
      <c r="G180" s="622">
        <v>1</v>
      </c>
      <c r="H180" s="623">
        <f>G180*B180</f>
        <v>30000</v>
      </c>
      <c r="K180" s="262"/>
    </row>
    <row r="181" spans="1:11" hidden="1" outlineLevel="1" x14ac:dyDescent="0.35">
      <c r="A181" s="43" t="s">
        <v>283</v>
      </c>
      <c r="B181" s="175">
        <v>19500</v>
      </c>
      <c r="C181" s="126"/>
      <c r="D181" s="42">
        <v>1</v>
      </c>
      <c r="E181" s="41">
        <f t="shared" si="61"/>
        <v>0</v>
      </c>
      <c r="F181" s="64">
        <f t="shared" si="63"/>
        <v>0</v>
      </c>
      <c r="G181" s="125">
        <f t="shared" si="62"/>
        <v>0</v>
      </c>
      <c r="H181" s="40"/>
      <c r="J181" s="288">
        <f>G181*B181</f>
        <v>0</v>
      </c>
      <c r="K181" s="87"/>
    </row>
    <row r="182" spans="1:11" hidden="1" outlineLevel="1" x14ac:dyDescent="0.35">
      <c r="A182" s="43" t="s">
        <v>284</v>
      </c>
      <c r="B182" s="175">
        <v>19500</v>
      </c>
      <c r="C182" s="125"/>
      <c r="D182" s="42">
        <v>1</v>
      </c>
      <c r="E182" s="41">
        <f t="shared" si="61"/>
        <v>0</v>
      </c>
      <c r="F182" s="64">
        <f t="shared" si="63"/>
        <v>0</v>
      </c>
      <c r="G182" s="125">
        <f t="shared" si="62"/>
        <v>0</v>
      </c>
      <c r="H182" s="40"/>
      <c r="J182" s="288">
        <f>(G182*B182*D182)*0.85</f>
        <v>0</v>
      </c>
    </row>
    <row r="183" spans="1:11" hidden="1" outlineLevel="1" x14ac:dyDescent="0.35">
      <c r="A183" s="43" t="s">
        <v>175</v>
      </c>
      <c r="B183" s="175">
        <v>45500</v>
      </c>
      <c r="C183" s="125"/>
      <c r="D183" s="42">
        <v>1</v>
      </c>
      <c r="E183" s="41">
        <f t="shared" si="61"/>
        <v>0</v>
      </c>
      <c r="F183" s="64">
        <f t="shared" si="63"/>
        <v>0</v>
      </c>
      <c r="G183" s="125">
        <f t="shared" si="62"/>
        <v>0</v>
      </c>
      <c r="H183" s="40"/>
      <c r="J183" s="289"/>
    </row>
    <row r="184" spans="1:11" hidden="1" outlineLevel="1" x14ac:dyDescent="0.35">
      <c r="A184" s="43"/>
      <c r="B184" s="175">
        <v>0</v>
      </c>
      <c r="C184" s="125"/>
      <c r="D184" s="42">
        <v>1</v>
      </c>
      <c r="E184" s="41"/>
      <c r="F184" s="64"/>
      <c r="G184" s="125">
        <f t="shared" si="62"/>
        <v>0</v>
      </c>
      <c r="H184" s="40"/>
      <c r="J184" s="288">
        <f t="shared" ref="J184:J189" si="64">(G184*B184*D184)*0.85</f>
        <v>0</v>
      </c>
    </row>
    <row r="185" spans="1:11" hidden="1" outlineLevel="1" x14ac:dyDescent="0.35">
      <c r="A185" s="43"/>
      <c r="B185" s="46"/>
      <c r="C185" s="125"/>
      <c r="D185" s="42">
        <v>1</v>
      </c>
      <c r="E185" s="41"/>
      <c r="F185" s="64"/>
      <c r="G185" s="125">
        <f t="shared" si="62"/>
        <v>0</v>
      </c>
      <c r="J185" s="288">
        <f t="shared" si="64"/>
        <v>0</v>
      </c>
    </row>
    <row r="186" spans="1:11" hidden="1" outlineLevel="1" x14ac:dyDescent="0.35">
      <c r="A186" s="43"/>
      <c r="B186" s="46"/>
      <c r="C186" s="125"/>
      <c r="D186" s="42">
        <v>1</v>
      </c>
      <c r="E186" s="41"/>
      <c r="F186" s="64"/>
      <c r="G186" s="125">
        <f t="shared" si="62"/>
        <v>0</v>
      </c>
      <c r="J186" s="288">
        <f t="shared" si="64"/>
        <v>0</v>
      </c>
    </row>
    <row r="187" spans="1:11" hidden="1" outlineLevel="1" x14ac:dyDescent="0.35">
      <c r="A187" s="43"/>
      <c r="B187" s="46"/>
      <c r="C187" s="125"/>
      <c r="D187" s="42">
        <v>1</v>
      </c>
      <c r="E187" s="41"/>
      <c r="F187" s="64"/>
      <c r="G187" s="125">
        <f t="shared" si="62"/>
        <v>0</v>
      </c>
      <c r="J187" s="288">
        <f t="shared" si="64"/>
        <v>0</v>
      </c>
    </row>
    <row r="188" spans="1:11" hidden="1" outlineLevel="1" x14ac:dyDescent="0.35">
      <c r="A188" s="43"/>
      <c r="B188" s="46"/>
      <c r="C188" s="125"/>
      <c r="D188" s="42">
        <v>1</v>
      </c>
      <c r="E188" s="41"/>
      <c r="F188" s="64"/>
      <c r="G188" s="125">
        <f t="shared" si="62"/>
        <v>0</v>
      </c>
      <c r="J188" s="288">
        <f t="shared" si="64"/>
        <v>0</v>
      </c>
    </row>
    <row r="189" spans="1:11" hidden="1" outlineLevel="1" x14ac:dyDescent="0.35">
      <c r="A189" s="43"/>
      <c r="B189" s="46"/>
      <c r="C189" s="125"/>
      <c r="D189" s="42">
        <v>1</v>
      </c>
      <c r="E189" s="41"/>
      <c r="F189" s="64"/>
      <c r="G189" s="125">
        <f t="shared" si="62"/>
        <v>0</v>
      </c>
      <c r="J189" s="288">
        <f t="shared" si="64"/>
        <v>0</v>
      </c>
    </row>
    <row r="190" spans="1:11" ht="95.5" customHeight="1" collapsed="1" thickBot="1" x14ac:dyDescent="0.7">
      <c r="A190" s="89" t="s">
        <v>111</v>
      </c>
      <c r="B190" s="17" t="s">
        <v>1</v>
      </c>
      <c r="C190" s="161" t="s">
        <v>2</v>
      </c>
      <c r="D190" s="17"/>
      <c r="E190" s="9" t="s">
        <v>3</v>
      </c>
      <c r="F190" s="152" t="s">
        <v>165</v>
      </c>
      <c r="G190" s="90" t="s">
        <v>142</v>
      </c>
    </row>
    <row r="191" spans="1:11" ht="22.5" thickBot="1" x14ac:dyDescent="0.4">
      <c r="A191" s="59">
        <f>SUM(E192:E205)</f>
        <v>147634</v>
      </c>
      <c r="B191" s="61" t="s">
        <v>4</v>
      </c>
      <c r="C191" s="160" t="s">
        <v>5</v>
      </c>
      <c r="D191" s="61"/>
      <c r="E191" s="62">
        <f>SUM(E192:E205)</f>
        <v>147634</v>
      </c>
      <c r="F191" s="91">
        <f>SUM(F192:F206)</f>
        <v>147634</v>
      </c>
      <c r="G191" s="291" t="s">
        <v>143</v>
      </c>
      <c r="H191" s="153">
        <f>SUM(H192:H205)</f>
        <v>115400</v>
      </c>
    </row>
    <row r="192" spans="1:11" ht="31" x14ac:dyDescent="0.35">
      <c r="A192" s="45" t="s">
        <v>239</v>
      </c>
      <c r="B192" s="41">
        <v>1200</v>
      </c>
      <c r="C192" s="138">
        <v>70</v>
      </c>
      <c r="D192" s="47">
        <v>1</v>
      </c>
      <c r="E192" s="46">
        <f>B192*C192</f>
        <v>84000</v>
      </c>
      <c r="F192" s="64">
        <f t="shared" ref="F192" si="65">E192</f>
        <v>84000</v>
      </c>
      <c r="G192" s="561">
        <f>12+5+22+3</f>
        <v>42</v>
      </c>
      <c r="H192" s="438">
        <f>(G192*B192*D192)</f>
        <v>50400</v>
      </c>
      <c r="K192" s="87"/>
    </row>
    <row r="193" spans="1:13" ht="31" x14ac:dyDescent="0.35">
      <c r="A193" s="43" t="s">
        <v>95</v>
      </c>
      <c r="B193" s="41"/>
      <c r="C193" s="168"/>
      <c r="D193" s="47">
        <v>1</v>
      </c>
      <c r="E193" s="41">
        <f t="shared" ref="E193:E205" si="66">B193*C193</f>
        <v>0</v>
      </c>
      <c r="F193" s="64">
        <f t="shared" ref="F193:F205" si="67">E193</f>
        <v>0</v>
      </c>
      <c r="G193" s="168"/>
      <c r="J193" s="154">
        <f t="shared" ref="J193:J205" si="68">(G193*B193*D193)</f>
        <v>0</v>
      </c>
    </row>
    <row r="194" spans="1:13" x14ac:dyDescent="0.35">
      <c r="A194" s="43" t="s">
        <v>87</v>
      </c>
      <c r="B194" s="41">
        <v>1300</v>
      </c>
      <c r="C194" s="138">
        <v>10</v>
      </c>
      <c r="D194" s="47">
        <v>1</v>
      </c>
      <c r="E194" s="41">
        <f t="shared" si="66"/>
        <v>13000</v>
      </c>
      <c r="F194" s="64">
        <f t="shared" si="67"/>
        <v>13000</v>
      </c>
      <c r="G194" s="508">
        <v>5</v>
      </c>
      <c r="H194" s="510">
        <f>(G194*B194*D194)+10000</f>
        <v>16500</v>
      </c>
    </row>
    <row r="195" spans="1:13" x14ac:dyDescent="0.35">
      <c r="A195" s="43" t="s">
        <v>150</v>
      </c>
      <c r="B195" s="41">
        <v>3000</v>
      </c>
      <c r="C195" s="112"/>
      <c r="D195" s="47">
        <v>1</v>
      </c>
      <c r="E195" s="41">
        <f t="shared" si="66"/>
        <v>0</v>
      </c>
      <c r="F195" s="64">
        <f t="shared" si="67"/>
        <v>0</v>
      </c>
      <c r="G195" s="112"/>
      <c r="J195" s="154">
        <f t="shared" si="68"/>
        <v>0</v>
      </c>
    </row>
    <row r="196" spans="1:13" ht="31" x14ac:dyDescent="0.35">
      <c r="A196" s="43" t="s">
        <v>94</v>
      </c>
      <c r="B196" s="41"/>
      <c r="C196" s="168"/>
      <c r="D196" s="47">
        <v>1</v>
      </c>
      <c r="E196" s="41">
        <f t="shared" si="66"/>
        <v>0</v>
      </c>
      <c r="F196" s="64">
        <f t="shared" si="67"/>
        <v>0</v>
      </c>
      <c r="G196" s="168"/>
      <c r="J196" s="154">
        <f t="shared" si="68"/>
        <v>0</v>
      </c>
      <c r="K196" s="87"/>
    </row>
    <row r="197" spans="1:13" s="87" customFormat="1" ht="31" x14ac:dyDescent="0.35">
      <c r="A197" s="43" t="s">
        <v>153</v>
      </c>
      <c r="B197" s="41"/>
      <c r="C197" s="157"/>
      <c r="D197" s="47">
        <v>1</v>
      </c>
      <c r="E197" s="41">
        <f t="shared" si="66"/>
        <v>0</v>
      </c>
      <c r="F197" s="64">
        <f t="shared" si="67"/>
        <v>0</v>
      </c>
      <c r="G197" s="170">
        <f t="shared" ref="G197:G205" si="69">C197</f>
        <v>0</v>
      </c>
      <c r="I197" s="235"/>
      <c r="J197" s="154">
        <f t="shared" si="68"/>
        <v>0</v>
      </c>
    </row>
    <row r="198" spans="1:13" x14ac:dyDescent="0.35">
      <c r="A198" s="43" t="s">
        <v>88</v>
      </c>
      <c r="B198" s="46">
        <v>900</v>
      </c>
      <c r="C198" s="136">
        <v>16</v>
      </c>
      <c r="D198" s="47">
        <v>1</v>
      </c>
      <c r="E198" s="41">
        <f t="shared" si="66"/>
        <v>14400</v>
      </c>
      <c r="F198" s="64">
        <f t="shared" si="67"/>
        <v>14400</v>
      </c>
      <c r="G198" s="618">
        <f t="shared" si="69"/>
        <v>16</v>
      </c>
      <c r="H198" s="619">
        <f>(G198*B198*D198)</f>
        <v>14400</v>
      </c>
    </row>
    <row r="199" spans="1:13" x14ac:dyDescent="0.35">
      <c r="A199" s="43" t="s">
        <v>85</v>
      </c>
      <c r="B199" s="46">
        <v>400</v>
      </c>
      <c r="C199" s="136">
        <v>50</v>
      </c>
      <c r="D199" s="47">
        <v>1</v>
      </c>
      <c r="E199" s="41">
        <f t="shared" si="66"/>
        <v>20000</v>
      </c>
      <c r="F199" s="64">
        <f t="shared" si="67"/>
        <v>20000</v>
      </c>
      <c r="G199" s="484">
        <f>20+32+7</f>
        <v>59</v>
      </c>
      <c r="H199" s="459">
        <f>G199*B199</f>
        <v>23600</v>
      </c>
      <c r="K199" s="87"/>
      <c r="L199" s="87"/>
    </row>
    <row r="200" spans="1:13" x14ac:dyDescent="0.35">
      <c r="A200" s="43" t="s">
        <v>130</v>
      </c>
      <c r="B200" s="41">
        <v>600</v>
      </c>
      <c r="C200" s="157">
        <f>C89+C88</f>
        <v>15.389999999999999</v>
      </c>
      <c r="D200" s="47">
        <v>1</v>
      </c>
      <c r="E200" s="41">
        <f t="shared" si="66"/>
        <v>9234</v>
      </c>
      <c r="F200" s="64">
        <f t="shared" si="67"/>
        <v>9234</v>
      </c>
      <c r="G200" s="168"/>
      <c r="H200" s="40"/>
      <c r="J200" s="154">
        <f t="shared" si="68"/>
        <v>0</v>
      </c>
      <c r="K200" s="87" t="s">
        <v>360</v>
      </c>
      <c r="M200" s="87"/>
    </row>
    <row r="201" spans="1:13" x14ac:dyDescent="0.35">
      <c r="A201" s="43" t="s">
        <v>131</v>
      </c>
      <c r="B201" s="41"/>
      <c r="C201" s="157"/>
      <c r="D201" s="47">
        <v>1</v>
      </c>
      <c r="E201" s="41">
        <f t="shared" si="66"/>
        <v>0</v>
      </c>
      <c r="F201" s="64">
        <f t="shared" si="67"/>
        <v>0</v>
      </c>
      <c r="G201" s="168">
        <f t="shared" si="69"/>
        <v>0</v>
      </c>
      <c r="J201" s="154">
        <f t="shared" si="68"/>
        <v>0</v>
      </c>
      <c r="K201" s="87"/>
    </row>
    <row r="202" spans="1:13" ht="31" x14ac:dyDescent="0.35">
      <c r="A202" s="43" t="s">
        <v>132</v>
      </c>
      <c r="B202" s="41"/>
      <c r="C202" s="138"/>
      <c r="D202" s="47">
        <v>1</v>
      </c>
      <c r="E202" s="41">
        <f t="shared" si="66"/>
        <v>0</v>
      </c>
      <c r="F202" s="64">
        <f t="shared" si="67"/>
        <v>0</v>
      </c>
      <c r="G202" s="168">
        <f t="shared" si="69"/>
        <v>0</v>
      </c>
      <c r="J202" s="154">
        <f t="shared" si="68"/>
        <v>0</v>
      </c>
    </row>
    <row r="203" spans="1:13" x14ac:dyDescent="0.35">
      <c r="A203" s="11" t="s">
        <v>128</v>
      </c>
      <c r="B203" s="41">
        <v>1400</v>
      </c>
      <c r="C203" s="138">
        <v>5</v>
      </c>
      <c r="D203" s="47">
        <v>1</v>
      </c>
      <c r="E203" s="41">
        <f t="shared" si="66"/>
        <v>7000</v>
      </c>
      <c r="F203" s="64">
        <f t="shared" si="67"/>
        <v>7000</v>
      </c>
      <c r="G203" s="551">
        <f>3*2.5</f>
        <v>7.5</v>
      </c>
      <c r="H203" s="510">
        <f>(G203*B203*D203)</f>
        <v>10500</v>
      </c>
    </row>
    <row r="204" spans="1:13" x14ac:dyDescent="0.35">
      <c r="A204" s="11" t="s">
        <v>134</v>
      </c>
      <c r="B204" s="41"/>
      <c r="C204" s="168"/>
      <c r="D204" s="47">
        <v>1</v>
      </c>
      <c r="E204" s="41">
        <f t="shared" si="66"/>
        <v>0</v>
      </c>
      <c r="F204" s="64">
        <f t="shared" si="67"/>
        <v>0</v>
      </c>
      <c r="G204" s="168">
        <f t="shared" si="69"/>
        <v>0</v>
      </c>
      <c r="J204" s="154">
        <f t="shared" si="68"/>
        <v>0</v>
      </c>
    </row>
    <row r="205" spans="1:13" x14ac:dyDescent="0.35">
      <c r="A205" s="11" t="s">
        <v>137</v>
      </c>
      <c r="B205" s="41"/>
      <c r="C205" s="138"/>
      <c r="D205" s="47">
        <v>1</v>
      </c>
      <c r="E205" s="41">
        <f t="shared" si="66"/>
        <v>0</v>
      </c>
      <c r="F205" s="64">
        <f t="shared" si="67"/>
        <v>0</v>
      </c>
      <c r="G205" s="138">
        <f t="shared" si="69"/>
        <v>0</v>
      </c>
      <c r="J205" s="154">
        <f t="shared" si="68"/>
        <v>0</v>
      </c>
    </row>
  </sheetData>
  <mergeCells count="5">
    <mergeCell ref="A7:E7"/>
    <mergeCell ref="A4:C4"/>
    <mergeCell ref="J7:L7"/>
    <mergeCell ref="J8:L8"/>
    <mergeCell ref="H5:H7"/>
  </mergeCells>
  <hyperlinks>
    <hyperlink ref="A4" r:id="rId1" xr:uid="{00000000-0004-0000-0100-000000000000}"/>
    <hyperlink ref="A3" r:id="rId2" xr:uid="{00000000-0004-0000-0100-000001000000}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5"/>
  <sheetViews>
    <sheetView topLeftCell="A5" zoomScale="90" zoomScaleNormal="94" workbookViewId="0">
      <selection activeCell="J5" sqref="J5"/>
    </sheetView>
  </sheetViews>
  <sheetFormatPr defaultColWidth="9.08984375" defaultRowHeight="22" outlineLevelRow="1" x14ac:dyDescent="0.65"/>
  <cols>
    <col min="1" max="1" width="57.54296875" style="51" bestFit="1" customWidth="1"/>
    <col min="2" max="2" width="22.54296875" customWidth="1"/>
    <col min="3" max="3" width="26.54296875" style="365" bestFit="1" customWidth="1"/>
    <col min="4" max="4" width="17.1796875" customWidth="1"/>
    <col min="5" max="5" width="23.36328125" style="323" customWidth="1"/>
    <col min="6" max="6" width="11.36328125" style="186" bestFit="1" customWidth="1"/>
    <col min="7" max="7" width="3.1796875" style="225" customWidth="1"/>
    <col min="8" max="8" width="10.1796875" style="287" bestFit="1" customWidth="1"/>
    <col min="9" max="9" width="8.54296875" bestFit="1" customWidth="1"/>
    <col min="10" max="10" width="34.54296875" customWidth="1"/>
    <col min="11" max="11" width="12.81640625" bestFit="1" customWidth="1"/>
    <col min="12" max="12" width="14.36328125" bestFit="1" customWidth="1"/>
    <col min="13" max="13" width="14.36328125" customWidth="1"/>
    <col min="14" max="14" width="19.1796875" customWidth="1"/>
    <col min="15" max="15" width="24.1796875" customWidth="1"/>
  </cols>
  <sheetData>
    <row r="1" spans="1:11" ht="53.25" customHeight="1" x14ac:dyDescent="0.85">
      <c r="A1" s="49" t="s">
        <v>17</v>
      </c>
      <c r="B1" s="657" t="s">
        <v>34</v>
      </c>
      <c r="C1" s="657"/>
      <c r="D1" s="657"/>
    </row>
    <row r="2" spans="1:11" x14ac:dyDescent="0.65">
      <c r="A2" s="50" t="str">
        <f>Díj!A2</f>
        <v>Jakab Szilárd</v>
      </c>
      <c r="B2" s="203" t="s">
        <v>183</v>
      </c>
      <c r="C2" s="359"/>
      <c r="D2" s="20"/>
    </row>
    <row r="3" spans="1:11" x14ac:dyDescent="0.65">
      <c r="A3" s="51" t="s">
        <v>19</v>
      </c>
      <c r="B3" s="19">
        <f>SUM(A8,A14,A32,A49,A70,A98,A108,A127,A145,A163,A170,A188,A205,A218)</f>
        <v>1399412.2320000001</v>
      </c>
      <c r="C3" s="360"/>
      <c r="D3" s="20">
        <f>SUM(E8,E14,E32,E49,E70,E98,E108,E127,E145,E163,E170,E188,E205,E218)</f>
        <v>1573664.3599999999</v>
      </c>
      <c r="E3" s="324" t="s">
        <v>55</v>
      </c>
      <c r="F3" s="187"/>
    </row>
    <row r="4" spans="1:11" s="57" customFormat="1" ht="66" customHeight="1" x14ac:dyDescent="0.5">
      <c r="A4" s="663" t="s">
        <v>63</v>
      </c>
      <c r="B4" s="663"/>
      <c r="C4" s="663"/>
      <c r="D4" s="663"/>
      <c r="E4" s="663"/>
      <c r="F4" s="187"/>
      <c r="G4" s="226"/>
      <c r="H4" s="287"/>
    </row>
    <row r="5" spans="1:11" ht="56.25" customHeight="1" x14ac:dyDescent="0.35">
      <c r="A5" s="660" t="s">
        <v>145</v>
      </c>
      <c r="B5" s="660"/>
      <c r="C5" s="660"/>
      <c r="D5" s="660"/>
      <c r="E5" s="660"/>
      <c r="F5" s="660"/>
    </row>
    <row r="6" spans="1:11" ht="37.25" customHeight="1" x14ac:dyDescent="0.65">
      <c r="A6" s="56" t="s">
        <v>99</v>
      </c>
      <c r="B6" s="661" t="s">
        <v>98</v>
      </c>
      <c r="C6" s="662"/>
      <c r="D6" s="662"/>
      <c r="E6" s="325"/>
      <c r="F6" s="188"/>
    </row>
    <row r="7" spans="1:11" ht="63.75" customHeight="1" thickBot="1" x14ac:dyDescent="1">
      <c r="A7" s="18" t="s">
        <v>31</v>
      </c>
      <c r="B7" s="17" t="s">
        <v>29</v>
      </c>
      <c r="C7" s="361" t="s">
        <v>18</v>
      </c>
      <c r="D7" s="9" t="s">
        <v>3</v>
      </c>
      <c r="H7" s="649">
        <f>SUM(H9:H236)</f>
        <v>0</v>
      </c>
      <c r="I7" s="649"/>
      <c r="J7" s="649"/>
    </row>
    <row r="8" spans="1:11" ht="25" thickBot="1" x14ac:dyDescent="0.75">
      <c r="A8" s="52">
        <f>SUM(D9:D11)</f>
        <v>0</v>
      </c>
      <c r="B8" s="21" t="s">
        <v>4</v>
      </c>
      <c r="C8" s="362" t="s">
        <v>5</v>
      </c>
      <c r="D8" s="86"/>
      <c r="E8" s="326">
        <f>SUM(F9:F11)</f>
        <v>0</v>
      </c>
      <c r="F8" s="656" t="s">
        <v>54</v>
      </c>
      <c r="G8" s="656"/>
      <c r="H8" s="656"/>
      <c r="J8" s="233" t="s">
        <v>189</v>
      </c>
      <c r="K8" t="s">
        <v>361</v>
      </c>
    </row>
    <row r="9" spans="1:11" hidden="1" outlineLevel="1" x14ac:dyDescent="0.65">
      <c r="A9" s="13"/>
      <c r="B9" s="12">
        <v>0</v>
      </c>
      <c r="C9" s="363">
        <v>0</v>
      </c>
      <c r="D9" s="12">
        <f>B9*C9</f>
        <v>0</v>
      </c>
      <c r="F9" s="189">
        <f>D9</f>
        <v>0</v>
      </c>
      <c r="G9" s="227"/>
    </row>
    <row r="10" spans="1:11" hidden="1" outlineLevel="1" x14ac:dyDescent="0.65">
      <c r="A10" s="11" t="s">
        <v>32</v>
      </c>
      <c r="B10" s="10">
        <v>0</v>
      </c>
      <c r="C10" s="364">
        <v>0</v>
      </c>
      <c r="D10" s="10">
        <f>B10*C10</f>
        <v>0</v>
      </c>
      <c r="F10" s="189">
        <f>D10</f>
        <v>0</v>
      </c>
      <c r="G10" s="227"/>
    </row>
    <row r="11" spans="1:11" hidden="1" outlineLevel="1" x14ac:dyDescent="0.65">
      <c r="A11" s="11"/>
      <c r="B11" s="10">
        <v>0</v>
      </c>
      <c r="C11" s="364">
        <v>0</v>
      </c>
      <c r="D11" s="10">
        <f>B11*C11</f>
        <v>0</v>
      </c>
      <c r="F11" s="189">
        <f>D11</f>
        <v>0</v>
      </c>
      <c r="G11" s="227"/>
    </row>
    <row r="12" spans="1:11" collapsed="1" x14ac:dyDescent="0.65">
      <c r="J12" s="2">
        <f>SUM(H36,F101,F103,F226)</f>
        <v>41625</v>
      </c>
    </row>
    <row r="13" spans="1:11" ht="63.75" customHeight="1" thickBot="1" x14ac:dyDescent="0.7">
      <c r="A13" s="18" t="s">
        <v>124</v>
      </c>
      <c r="B13" s="17" t="s">
        <v>29</v>
      </c>
      <c r="C13" s="366" t="s">
        <v>147</v>
      </c>
      <c r="D13" s="85" t="s">
        <v>148</v>
      </c>
      <c r="E13" s="327" t="s">
        <v>146</v>
      </c>
    </row>
    <row r="14" spans="1:11" ht="22.5" thickBot="1" x14ac:dyDescent="0.7">
      <c r="A14" s="52">
        <f>SUM(D15:D29)</f>
        <v>18000</v>
      </c>
      <c r="B14" s="21" t="s">
        <v>4</v>
      </c>
      <c r="C14" s="362" t="s">
        <v>5</v>
      </c>
      <c r="D14" s="86">
        <f>SUM(D15:D30)</f>
        <v>18000</v>
      </c>
      <c r="E14" s="328">
        <f>SUM(F15:F16)</f>
        <v>0</v>
      </c>
      <c r="F14" s="655" t="s">
        <v>54</v>
      </c>
      <c r="G14" s="656"/>
      <c r="H14" s="656"/>
    </row>
    <row r="15" spans="1:11" x14ac:dyDescent="0.65">
      <c r="A15" s="11" t="s">
        <v>209</v>
      </c>
      <c r="B15" s="10">
        <v>45000</v>
      </c>
      <c r="C15" s="318">
        <v>0</v>
      </c>
      <c r="D15" s="10">
        <f>B15*C15</f>
        <v>0</v>
      </c>
      <c r="E15" s="322">
        <f>C15</f>
        <v>0</v>
      </c>
      <c r="F15" s="189"/>
      <c r="G15" s="227"/>
      <c r="H15" s="306">
        <f>E15*B15</f>
        <v>0</v>
      </c>
    </row>
    <row r="16" spans="1:11" s="298" customFormat="1" x14ac:dyDescent="0.65">
      <c r="A16" s="428" t="s">
        <v>313</v>
      </c>
      <c r="B16" s="429">
        <v>18000</v>
      </c>
      <c r="C16" s="430">
        <v>1</v>
      </c>
      <c r="D16" s="429">
        <f>B16*C16</f>
        <v>18000</v>
      </c>
      <c r="E16" s="431">
        <v>1</v>
      </c>
      <c r="F16" s="432"/>
      <c r="G16" s="433"/>
      <c r="H16" s="434"/>
    </row>
    <row r="17" spans="1:10" hidden="1" outlineLevel="1" x14ac:dyDescent="0.65">
      <c r="A17" s="36" t="s">
        <v>160</v>
      </c>
      <c r="B17" s="10">
        <v>2500</v>
      </c>
      <c r="C17" s="318"/>
      <c r="D17" s="10">
        <f t="shared" ref="D17:D29" si="0">B17*C17</f>
        <v>0</v>
      </c>
      <c r="E17" s="322">
        <f t="shared" ref="E17:E29" si="1">C17</f>
        <v>0</v>
      </c>
      <c r="F17" s="189">
        <f t="shared" ref="F17:F22" si="2">E17*B17</f>
        <v>0</v>
      </c>
      <c r="G17" s="227"/>
    </row>
    <row r="18" spans="1:10" hidden="1" outlineLevel="1" x14ac:dyDescent="0.65">
      <c r="C18" s="318"/>
      <c r="D18" s="10">
        <f>B16*C18</f>
        <v>0</v>
      </c>
      <c r="E18" s="322">
        <f t="shared" si="1"/>
        <v>0</v>
      </c>
      <c r="F18" s="189">
        <f>E18*B16</f>
        <v>0</v>
      </c>
      <c r="G18" s="227"/>
    </row>
    <row r="19" spans="1:10" hidden="1" outlineLevel="1" x14ac:dyDescent="0.65">
      <c r="A19" s="11"/>
      <c r="B19" s="10"/>
      <c r="C19" s="318"/>
      <c r="D19" s="10">
        <f t="shared" si="0"/>
        <v>0</v>
      </c>
      <c r="E19" s="322">
        <f t="shared" si="1"/>
        <v>0</v>
      </c>
      <c r="F19" s="189">
        <f t="shared" si="2"/>
        <v>0</v>
      </c>
      <c r="G19" s="227"/>
      <c r="J19" t="s">
        <v>140</v>
      </c>
    </row>
    <row r="20" spans="1:10" hidden="1" outlineLevel="1" x14ac:dyDescent="0.65">
      <c r="A20" s="36"/>
      <c r="B20" s="10"/>
      <c r="C20" s="367"/>
      <c r="D20" s="10">
        <f t="shared" si="0"/>
        <v>0</v>
      </c>
      <c r="E20" s="329">
        <f t="shared" si="1"/>
        <v>0</v>
      </c>
      <c r="F20" s="189">
        <f t="shared" si="2"/>
        <v>0</v>
      </c>
      <c r="G20" s="227"/>
    </row>
    <row r="21" spans="1:10" hidden="1" outlineLevel="1" x14ac:dyDescent="0.65">
      <c r="A21" s="11"/>
      <c r="B21" s="10"/>
      <c r="C21" s="318"/>
      <c r="D21" s="10">
        <f t="shared" si="0"/>
        <v>0</v>
      </c>
      <c r="E21" s="322">
        <f t="shared" si="1"/>
        <v>0</v>
      </c>
      <c r="F21" s="189">
        <f t="shared" si="2"/>
        <v>0</v>
      </c>
      <c r="G21" s="227"/>
    </row>
    <row r="22" spans="1:10" hidden="1" outlineLevel="1" x14ac:dyDescent="0.65">
      <c r="A22" s="11"/>
      <c r="B22" s="10"/>
      <c r="C22" s="318"/>
      <c r="D22" s="10">
        <f t="shared" si="0"/>
        <v>0</v>
      </c>
      <c r="E22" s="322">
        <f t="shared" si="1"/>
        <v>0</v>
      </c>
      <c r="F22" s="189">
        <f t="shared" si="2"/>
        <v>0</v>
      </c>
      <c r="G22" s="227"/>
    </row>
    <row r="23" spans="1:10" hidden="1" outlineLevel="1" x14ac:dyDescent="0.65">
      <c r="A23" s="11"/>
      <c r="B23" s="10"/>
      <c r="C23" s="318"/>
      <c r="D23" s="10">
        <f t="shared" si="0"/>
        <v>0</v>
      </c>
      <c r="E23" s="323">
        <f t="shared" si="1"/>
        <v>0</v>
      </c>
      <c r="F23" s="189">
        <f t="shared" ref="F23:F29" si="3">D23</f>
        <v>0</v>
      </c>
      <c r="G23" s="227"/>
    </row>
    <row r="24" spans="1:10" hidden="1" outlineLevel="1" x14ac:dyDescent="0.65">
      <c r="A24" s="11"/>
      <c r="B24" s="10"/>
      <c r="C24" s="318"/>
      <c r="D24" s="10">
        <f t="shared" si="0"/>
        <v>0</v>
      </c>
      <c r="E24" s="323">
        <f t="shared" si="1"/>
        <v>0</v>
      </c>
      <c r="F24" s="189">
        <f t="shared" si="3"/>
        <v>0</v>
      </c>
      <c r="G24" s="227"/>
    </row>
    <row r="25" spans="1:10" hidden="1" outlineLevel="1" x14ac:dyDescent="0.65">
      <c r="A25" s="11"/>
      <c r="B25" s="10"/>
      <c r="C25" s="318"/>
      <c r="D25" s="10">
        <f t="shared" si="0"/>
        <v>0</v>
      </c>
      <c r="E25" s="323">
        <f t="shared" si="1"/>
        <v>0</v>
      </c>
      <c r="F25" s="189">
        <f t="shared" si="3"/>
        <v>0</v>
      </c>
      <c r="G25" s="227"/>
    </row>
    <row r="26" spans="1:10" hidden="1" outlineLevel="1" x14ac:dyDescent="0.65">
      <c r="A26" s="11"/>
      <c r="B26" s="10">
        <v>0</v>
      </c>
      <c r="C26" s="318"/>
      <c r="D26" s="10">
        <f t="shared" si="0"/>
        <v>0</v>
      </c>
      <c r="E26" s="323">
        <f t="shared" si="1"/>
        <v>0</v>
      </c>
      <c r="F26" s="189">
        <f t="shared" si="3"/>
        <v>0</v>
      </c>
      <c r="G26" s="227"/>
    </row>
    <row r="27" spans="1:10" hidden="1" outlineLevel="1" x14ac:dyDescent="0.65">
      <c r="A27" s="11"/>
      <c r="B27" s="10">
        <v>0</v>
      </c>
      <c r="C27" s="318"/>
      <c r="D27" s="10">
        <f t="shared" si="0"/>
        <v>0</v>
      </c>
      <c r="E27" s="323">
        <f t="shared" si="1"/>
        <v>0</v>
      </c>
      <c r="F27" s="189">
        <f t="shared" si="3"/>
        <v>0</v>
      </c>
      <c r="G27" s="227"/>
    </row>
    <row r="28" spans="1:10" hidden="1" outlineLevel="1" x14ac:dyDescent="0.65">
      <c r="A28" s="11"/>
      <c r="B28" s="10">
        <v>0</v>
      </c>
      <c r="C28" s="318"/>
      <c r="D28" s="10">
        <f t="shared" si="0"/>
        <v>0</v>
      </c>
      <c r="E28" s="323">
        <f t="shared" si="1"/>
        <v>0</v>
      </c>
      <c r="F28" s="189">
        <f t="shared" si="3"/>
        <v>0</v>
      </c>
      <c r="G28" s="227"/>
    </row>
    <row r="29" spans="1:10" hidden="1" outlineLevel="1" x14ac:dyDescent="0.65">
      <c r="A29" s="11"/>
      <c r="B29" s="10">
        <v>0</v>
      </c>
      <c r="C29" s="318"/>
      <c r="D29" s="10">
        <f t="shared" si="0"/>
        <v>0</v>
      </c>
      <c r="E29" s="323">
        <f t="shared" si="1"/>
        <v>0</v>
      </c>
      <c r="F29" s="189">
        <f t="shared" si="3"/>
        <v>0</v>
      </c>
      <c r="G29" s="227"/>
    </row>
    <row r="30" spans="1:10" collapsed="1" x14ac:dyDescent="0.65">
      <c r="G30" s="227"/>
    </row>
    <row r="31" spans="1:10" ht="63.75" customHeight="1" thickBot="1" x14ac:dyDescent="0.7">
      <c r="A31" s="18" t="s">
        <v>125</v>
      </c>
      <c r="B31" s="17" t="s">
        <v>29</v>
      </c>
      <c r="C31" s="366" t="s">
        <v>147</v>
      </c>
      <c r="D31" s="85" t="s">
        <v>148</v>
      </c>
      <c r="E31" s="327" t="s">
        <v>146</v>
      </c>
    </row>
    <row r="32" spans="1:10" ht="22.5" thickBot="1" x14ac:dyDescent="0.7">
      <c r="A32" s="52">
        <f>SUM(D33:D46)</f>
        <v>239900</v>
      </c>
      <c r="B32" s="21" t="s">
        <v>4</v>
      </c>
      <c r="C32" s="362" t="s">
        <v>5</v>
      </c>
      <c r="D32" s="86">
        <f>SUM(D33:D48)</f>
        <v>239900</v>
      </c>
      <c r="E32" s="328">
        <f>SUM(F33:F43)</f>
        <v>211100</v>
      </c>
      <c r="F32" s="655" t="s">
        <v>54</v>
      </c>
      <c r="G32" s="656"/>
      <c r="H32" s="656"/>
    </row>
    <row r="33" spans="1:9" x14ac:dyDescent="0.65">
      <c r="A33" s="13" t="s">
        <v>35</v>
      </c>
      <c r="B33" s="12">
        <v>600</v>
      </c>
      <c r="C33" s="368">
        <v>30</v>
      </c>
      <c r="D33" s="12">
        <f t="shared" ref="D33:D43" si="4">B33*C33</f>
        <v>18000</v>
      </c>
      <c r="E33" s="329">
        <v>42</v>
      </c>
      <c r="F33" s="306">
        <f>E33*B33</f>
        <v>25200</v>
      </c>
      <c r="G33" s="228"/>
    </row>
    <row r="34" spans="1:9" x14ac:dyDescent="0.65">
      <c r="A34" s="11" t="s">
        <v>36</v>
      </c>
      <c r="B34" s="10">
        <v>2500</v>
      </c>
      <c r="C34" s="318">
        <v>30</v>
      </c>
      <c r="D34" s="10">
        <f t="shared" si="4"/>
        <v>75000</v>
      </c>
      <c r="E34" s="322">
        <f t="shared" ref="E34" si="5">C34</f>
        <v>30</v>
      </c>
      <c r="F34" s="306">
        <f>E34*B34</f>
        <v>75000</v>
      </c>
      <c r="G34" s="227"/>
    </row>
    <row r="35" spans="1:9" s="298" customFormat="1" x14ac:dyDescent="0.65">
      <c r="A35" s="11" t="s">
        <v>276</v>
      </c>
      <c r="B35" s="10">
        <v>4000</v>
      </c>
      <c r="C35" s="318">
        <v>7</v>
      </c>
      <c r="D35" s="10">
        <f t="shared" si="4"/>
        <v>28000</v>
      </c>
      <c r="E35" s="522">
        <v>4</v>
      </c>
      <c r="F35" s="521">
        <f>E35*B35</f>
        <v>16000</v>
      </c>
      <c r="G35" s="301"/>
      <c r="I35" s="88"/>
    </row>
    <row r="36" spans="1:9" x14ac:dyDescent="0.65">
      <c r="A36" s="11" t="s">
        <v>118</v>
      </c>
      <c r="B36" s="10">
        <v>4000</v>
      </c>
      <c r="C36" s="318">
        <v>4</v>
      </c>
      <c r="D36" s="10">
        <f t="shared" si="4"/>
        <v>16000</v>
      </c>
      <c r="E36" s="322">
        <f t="shared" ref="E36:E43" si="6">C36</f>
        <v>4</v>
      </c>
      <c r="G36" s="227"/>
      <c r="H36" s="306"/>
    </row>
    <row r="37" spans="1:9" x14ac:dyDescent="0.65">
      <c r="A37" s="11" t="s">
        <v>38</v>
      </c>
      <c r="B37" s="10">
        <v>1800</v>
      </c>
      <c r="C37" s="367">
        <v>6</v>
      </c>
      <c r="D37" s="10">
        <f t="shared" si="4"/>
        <v>10800</v>
      </c>
      <c r="E37" s="329">
        <f t="shared" si="6"/>
        <v>6</v>
      </c>
      <c r="F37" s="306">
        <f>E37*B37</f>
        <v>10800</v>
      </c>
      <c r="G37" s="227"/>
    </row>
    <row r="38" spans="1:9" x14ac:dyDescent="0.65">
      <c r="A38" s="11" t="s">
        <v>39</v>
      </c>
      <c r="B38" s="10">
        <v>1500</v>
      </c>
      <c r="C38" s="318">
        <v>30</v>
      </c>
      <c r="D38" s="10">
        <f t="shared" si="4"/>
        <v>45000</v>
      </c>
      <c r="E38" s="322">
        <f t="shared" si="6"/>
        <v>30</v>
      </c>
      <c r="F38" s="306">
        <f>E38*B38</f>
        <v>45000</v>
      </c>
      <c r="G38" s="227"/>
    </row>
    <row r="39" spans="1:9" x14ac:dyDescent="0.65">
      <c r="A39" s="11" t="s">
        <v>122</v>
      </c>
      <c r="B39" s="10">
        <v>25000</v>
      </c>
      <c r="C39" s="318">
        <v>1</v>
      </c>
      <c r="D39" s="10">
        <f t="shared" si="4"/>
        <v>25000</v>
      </c>
      <c r="E39" s="322">
        <f t="shared" si="6"/>
        <v>1</v>
      </c>
      <c r="F39" s="306">
        <f>E39*B39</f>
        <v>25000</v>
      </c>
      <c r="G39" s="227"/>
    </row>
    <row r="40" spans="1:9" x14ac:dyDescent="0.65">
      <c r="A40" s="11" t="s">
        <v>103</v>
      </c>
      <c r="B40" s="10">
        <v>1800</v>
      </c>
      <c r="C40" s="367"/>
      <c r="D40" s="10">
        <f t="shared" si="4"/>
        <v>0</v>
      </c>
      <c r="E40" s="329">
        <f t="shared" si="6"/>
        <v>0</v>
      </c>
      <c r="G40" s="227"/>
      <c r="H40" s="306">
        <f t="shared" ref="H40:H47" si="7">E40*B40</f>
        <v>0</v>
      </c>
    </row>
    <row r="41" spans="1:9" x14ac:dyDescent="0.65">
      <c r="A41" s="11" t="s">
        <v>104</v>
      </c>
      <c r="B41" s="10">
        <v>2700</v>
      </c>
      <c r="C41" s="318">
        <v>3</v>
      </c>
      <c r="D41" s="10">
        <f t="shared" si="4"/>
        <v>8100</v>
      </c>
      <c r="E41" s="322">
        <f t="shared" si="6"/>
        <v>3</v>
      </c>
      <c r="F41" s="306">
        <f>E41*B41</f>
        <v>8100</v>
      </c>
      <c r="G41" s="227"/>
    </row>
    <row r="42" spans="1:9" x14ac:dyDescent="0.65">
      <c r="A42" s="11" t="s">
        <v>220</v>
      </c>
      <c r="B42" s="10">
        <v>8000</v>
      </c>
      <c r="C42" s="318">
        <v>1</v>
      </c>
      <c r="D42" s="10">
        <f t="shared" si="4"/>
        <v>8000</v>
      </c>
      <c r="E42" s="322">
        <v>0</v>
      </c>
      <c r="G42" s="227"/>
      <c r="H42" s="306">
        <f>E42*B42</f>
        <v>0</v>
      </c>
    </row>
    <row r="43" spans="1:9" x14ac:dyDescent="0.65">
      <c r="A43" s="11" t="s">
        <v>123</v>
      </c>
      <c r="B43" s="10">
        <v>6000</v>
      </c>
      <c r="C43" s="318">
        <v>1</v>
      </c>
      <c r="D43" s="10">
        <f t="shared" si="4"/>
        <v>6000</v>
      </c>
      <c r="E43" s="322">
        <f t="shared" si="6"/>
        <v>1</v>
      </c>
      <c r="F43" s="306">
        <f>E43*B43</f>
        <v>6000</v>
      </c>
      <c r="G43" s="227"/>
    </row>
    <row r="44" spans="1:9" hidden="1" outlineLevel="1" x14ac:dyDescent="0.65">
      <c r="A44" s="11"/>
      <c r="B44" s="10"/>
      <c r="C44" s="318"/>
      <c r="D44" s="10"/>
      <c r="F44" s="189">
        <f>D44</f>
        <v>0</v>
      </c>
      <c r="G44" s="227"/>
      <c r="H44" s="306">
        <f t="shared" si="7"/>
        <v>0</v>
      </c>
    </row>
    <row r="45" spans="1:9" hidden="1" outlineLevel="1" x14ac:dyDescent="0.65">
      <c r="A45" s="11"/>
      <c r="B45" s="10"/>
      <c r="C45" s="318"/>
      <c r="D45" s="10"/>
      <c r="F45" s="189">
        <f>D45</f>
        <v>0</v>
      </c>
      <c r="G45" s="227"/>
      <c r="H45" s="306">
        <f t="shared" si="7"/>
        <v>0</v>
      </c>
    </row>
    <row r="46" spans="1:9" hidden="1" outlineLevel="1" x14ac:dyDescent="0.65">
      <c r="A46" s="11"/>
      <c r="B46" s="10"/>
      <c r="C46" s="318"/>
      <c r="D46" s="10"/>
      <c r="F46" s="189">
        <f>D46</f>
        <v>0</v>
      </c>
      <c r="G46" s="227"/>
      <c r="H46" s="306">
        <f t="shared" si="7"/>
        <v>0</v>
      </c>
    </row>
    <row r="47" spans="1:9" hidden="1" outlineLevel="1" x14ac:dyDescent="0.65">
      <c r="A47" s="11"/>
      <c r="B47" s="10"/>
      <c r="C47" s="318"/>
      <c r="D47" s="10"/>
      <c r="F47" s="189"/>
      <c r="G47" s="227"/>
      <c r="H47" s="306">
        <f t="shared" si="7"/>
        <v>0</v>
      </c>
    </row>
    <row r="48" spans="1:9" ht="63.75" customHeight="1" collapsed="1" thickBot="1" x14ac:dyDescent="0.7">
      <c r="A48" s="18" t="s">
        <v>126</v>
      </c>
      <c r="B48" s="17" t="s">
        <v>29</v>
      </c>
      <c r="C48" s="366" t="s">
        <v>147</v>
      </c>
      <c r="D48" s="85" t="s">
        <v>148</v>
      </c>
      <c r="E48" s="327" t="s">
        <v>146</v>
      </c>
      <c r="G48" s="227"/>
    </row>
    <row r="49" spans="1:15" ht="22.5" thickBot="1" x14ac:dyDescent="0.7">
      <c r="A49" s="52">
        <f>SUM(D50:D59)</f>
        <v>157550</v>
      </c>
      <c r="B49" s="21" t="s">
        <v>4</v>
      </c>
      <c r="C49" s="362" t="s">
        <v>5</v>
      </c>
      <c r="D49" s="86">
        <f>SUM(D50:D59)</f>
        <v>157550</v>
      </c>
      <c r="E49" s="328">
        <f>SUM(F50:F68)</f>
        <v>167750</v>
      </c>
      <c r="F49" s="655" t="s">
        <v>54</v>
      </c>
      <c r="G49" s="656"/>
      <c r="H49" s="656"/>
    </row>
    <row r="50" spans="1:15" x14ac:dyDescent="0.35">
      <c r="A50" s="45" t="s">
        <v>105</v>
      </c>
      <c r="B50" s="46">
        <v>700</v>
      </c>
      <c r="C50" s="369">
        <v>100</v>
      </c>
      <c r="D50" s="46">
        <f t="shared" ref="D50:D57" si="8">B50*C50</f>
        <v>70000</v>
      </c>
      <c r="E50" s="330">
        <f>C50</f>
        <v>100</v>
      </c>
      <c r="F50" s="306">
        <f t="shared" ref="F50:F55" si="9">E50*B50</f>
        <v>70000</v>
      </c>
      <c r="G50" s="228"/>
    </row>
    <row r="51" spans="1:15" x14ac:dyDescent="0.35">
      <c r="A51" s="43" t="s">
        <v>106</v>
      </c>
      <c r="B51" s="41">
        <v>500</v>
      </c>
      <c r="C51" s="370">
        <v>50</v>
      </c>
      <c r="D51" s="41">
        <f>B51*C51</f>
        <v>25000</v>
      </c>
      <c r="E51" s="331">
        <f t="shared" ref="E51:E59" si="10">C51</f>
        <v>50</v>
      </c>
      <c r="F51" s="306">
        <f t="shared" si="9"/>
        <v>25000</v>
      </c>
      <c r="G51" s="229"/>
    </row>
    <row r="52" spans="1:15" ht="31" x14ac:dyDescent="0.35">
      <c r="A52" s="43" t="s">
        <v>315</v>
      </c>
      <c r="B52" s="41">
        <v>2300</v>
      </c>
      <c r="C52" s="370">
        <v>8</v>
      </c>
      <c r="D52" s="41">
        <f t="shared" si="8"/>
        <v>18400</v>
      </c>
      <c r="E52" s="331">
        <f t="shared" si="10"/>
        <v>8</v>
      </c>
      <c r="F52" s="306">
        <f t="shared" si="9"/>
        <v>18400</v>
      </c>
      <c r="G52" s="229"/>
    </row>
    <row r="53" spans="1:15" x14ac:dyDescent="0.35">
      <c r="A53" s="43" t="s">
        <v>107</v>
      </c>
      <c r="B53" s="41">
        <v>400</v>
      </c>
      <c r="C53" s="370">
        <v>10</v>
      </c>
      <c r="D53" s="41">
        <f t="shared" si="8"/>
        <v>4000</v>
      </c>
      <c r="E53" s="331">
        <f t="shared" si="10"/>
        <v>10</v>
      </c>
      <c r="F53" s="306">
        <f t="shared" si="9"/>
        <v>4000</v>
      </c>
      <c r="G53" s="229"/>
    </row>
    <row r="54" spans="1:15" x14ac:dyDescent="0.35">
      <c r="A54" s="43" t="s">
        <v>42</v>
      </c>
      <c r="B54" s="41">
        <v>100</v>
      </c>
      <c r="C54" s="371">
        <v>40</v>
      </c>
      <c r="D54" s="41">
        <f t="shared" si="8"/>
        <v>4000</v>
      </c>
      <c r="E54" s="332">
        <f t="shared" si="10"/>
        <v>40</v>
      </c>
      <c r="F54" s="306">
        <f t="shared" si="9"/>
        <v>4000</v>
      </c>
      <c r="G54" s="229"/>
    </row>
    <row r="55" spans="1:15" x14ac:dyDescent="0.35">
      <c r="A55" s="43" t="s">
        <v>221</v>
      </c>
      <c r="B55" s="41">
        <v>450</v>
      </c>
      <c r="C55" s="371">
        <v>3</v>
      </c>
      <c r="D55" s="41">
        <f>B55*C55</f>
        <v>1350</v>
      </c>
      <c r="E55" s="332">
        <f t="shared" si="10"/>
        <v>3</v>
      </c>
      <c r="F55" s="306">
        <f t="shared" si="9"/>
        <v>1350</v>
      </c>
      <c r="G55" s="229"/>
    </row>
    <row r="56" spans="1:15" ht="22.5" thickBot="1" x14ac:dyDescent="0.4">
      <c r="A56" s="43" t="s">
        <v>72</v>
      </c>
      <c r="B56" s="41">
        <v>16000</v>
      </c>
      <c r="C56" s="371">
        <v>1</v>
      </c>
      <c r="D56" s="41">
        <f t="shared" si="8"/>
        <v>16000</v>
      </c>
      <c r="E56" s="520">
        <f t="shared" si="10"/>
        <v>1</v>
      </c>
      <c r="F56" s="521">
        <f>E56*B56</f>
        <v>16000</v>
      </c>
      <c r="G56" s="229"/>
    </row>
    <row r="57" spans="1:15" x14ac:dyDescent="0.35">
      <c r="A57" s="43" t="s">
        <v>353</v>
      </c>
      <c r="B57" s="41">
        <v>1800</v>
      </c>
      <c r="C57" s="371">
        <v>1</v>
      </c>
      <c r="D57" s="41">
        <f t="shared" si="8"/>
        <v>1800</v>
      </c>
      <c r="E57" s="518">
        <v>5</v>
      </c>
      <c r="F57" s="519">
        <f>E57*B57</f>
        <v>9000</v>
      </c>
      <c r="G57" s="229"/>
      <c r="J57" s="78" t="s">
        <v>182</v>
      </c>
      <c r="K57" s="23" t="s">
        <v>47</v>
      </c>
      <c r="L57" s="24" t="s">
        <v>48</v>
      </c>
      <c r="M57" s="24" t="s">
        <v>49</v>
      </c>
      <c r="N57" s="25" t="s">
        <v>50</v>
      </c>
      <c r="O57" s="26">
        <v>5000</v>
      </c>
    </row>
    <row r="58" spans="1:15" ht="22.5" thickBot="1" x14ac:dyDescent="0.4">
      <c r="A58" s="43" t="s">
        <v>316</v>
      </c>
      <c r="B58" s="299">
        <v>800</v>
      </c>
      <c r="C58" s="370">
        <v>15</v>
      </c>
      <c r="D58" s="41">
        <f>B58*C58</f>
        <v>12000</v>
      </c>
      <c r="E58" s="331">
        <f t="shared" si="10"/>
        <v>15</v>
      </c>
      <c r="F58" s="306">
        <f>E58*B58</f>
        <v>12000</v>
      </c>
      <c r="G58" s="229"/>
      <c r="J58" s="32">
        <f>Díj!C51+Díj!C53</f>
        <v>11.8</v>
      </c>
      <c r="K58" s="28">
        <v>1.5</v>
      </c>
      <c r="L58" s="29">
        <f>J58*K58*10</f>
        <v>177.00000000000003</v>
      </c>
      <c r="M58" s="30">
        <f>L58*1.6</f>
        <v>283.20000000000005</v>
      </c>
      <c r="N58" s="33">
        <f>M58/25</f>
        <v>11.328000000000001</v>
      </c>
      <c r="O58" s="31">
        <f>N58*O57</f>
        <v>56640.000000000007</v>
      </c>
    </row>
    <row r="59" spans="1:15" x14ac:dyDescent="0.35">
      <c r="A59" s="11" t="s">
        <v>204</v>
      </c>
      <c r="B59" s="10">
        <v>5000</v>
      </c>
      <c r="C59" s="371">
        <v>1</v>
      </c>
      <c r="D59" s="41">
        <f>B59*C59</f>
        <v>5000</v>
      </c>
      <c r="E59" s="520">
        <f t="shared" si="10"/>
        <v>1</v>
      </c>
      <c r="F59" s="521">
        <f>E59*B59</f>
        <v>5000</v>
      </c>
      <c r="G59" s="229"/>
    </row>
    <row r="60" spans="1:15" x14ac:dyDescent="0.35">
      <c r="A60" s="11" t="s">
        <v>371</v>
      </c>
      <c r="B60" s="10">
        <v>3000</v>
      </c>
      <c r="C60" s="371"/>
      <c r="D60" s="41">
        <f>B60*C60</f>
        <v>0</v>
      </c>
      <c r="E60" s="577">
        <v>1</v>
      </c>
      <c r="F60" s="578">
        <f>E60*B60</f>
        <v>3000</v>
      </c>
      <c r="G60" s="229"/>
    </row>
    <row r="61" spans="1:15" hidden="1" outlineLevel="1" x14ac:dyDescent="0.65">
      <c r="A61" s="11"/>
      <c r="B61" s="10"/>
      <c r="C61" s="367"/>
      <c r="D61" s="10">
        <f>B58*C61</f>
        <v>0</v>
      </c>
      <c r="F61" s="189">
        <f t="shared" ref="F61:F68" si="11">D61</f>
        <v>0</v>
      </c>
      <c r="G61" s="229"/>
    </row>
    <row r="62" spans="1:15" hidden="1" outlineLevel="1" x14ac:dyDescent="0.65">
      <c r="A62" s="11"/>
      <c r="B62" s="10"/>
      <c r="C62" s="318"/>
      <c r="D62" s="10">
        <f>B60*C62</f>
        <v>0</v>
      </c>
      <c r="F62" s="189">
        <f t="shared" si="11"/>
        <v>0</v>
      </c>
      <c r="G62" s="227"/>
    </row>
    <row r="63" spans="1:15" hidden="1" outlineLevel="1" x14ac:dyDescent="0.65">
      <c r="A63" s="11"/>
      <c r="B63" s="10"/>
      <c r="C63" s="367"/>
      <c r="D63" s="10">
        <f t="shared" ref="D63:D68" si="12">B63*C63</f>
        <v>0</v>
      </c>
      <c r="F63" s="189">
        <f t="shared" si="11"/>
        <v>0</v>
      </c>
      <c r="G63" s="227"/>
    </row>
    <row r="64" spans="1:15" hidden="1" outlineLevel="1" x14ac:dyDescent="0.65">
      <c r="A64" s="11"/>
      <c r="B64" s="10"/>
      <c r="C64" s="318"/>
      <c r="D64" s="10">
        <f t="shared" si="12"/>
        <v>0</v>
      </c>
      <c r="F64" s="189">
        <f t="shared" si="11"/>
        <v>0</v>
      </c>
      <c r="G64" s="227"/>
    </row>
    <row r="65" spans="1:15" hidden="1" outlineLevel="1" x14ac:dyDescent="0.65">
      <c r="A65" s="11"/>
      <c r="B65" s="10"/>
      <c r="C65" s="367"/>
      <c r="D65" s="10">
        <f t="shared" si="12"/>
        <v>0</v>
      </c>
      <c r="F65" s="189">
        <f t="shared" si="11"/>
        <v>0</v>
      </c>
      <c r="G65" s="227"/>
    </row>
    <row r="66" spans="1:15" hidden="1" outlineLevel="1" x14ac:dyDescent="0.65">
      <c r="A66" s="11"/>
      <c r="B66" s="10"/>
      <c r="C66" s="364"/>
      <c r="D66" s="10">
        <f t="shared" si="12"/>
        <v>0</v>
      </c>
      <c r="F66" s="189">
        <f t="shared" si="11"/>
        <v>0</v>
      </c>
      <c r="G66" s="227"/>
    </row>
    <row r="67" spans="1:15" hidden="1" outlineLevel="1" x14ac:dyDescent="0.65">
      <c r="A67" s="53"/>
      <c r="B67" s="10"/>
      <c r="C67" s="364"/>
      <c r="D67" s="10">
        <f t="shared" si="12"/>
        <v>0</v>
      </c>
      <c r="F67" s="189">
        <f t="shared" si="11"/>
        <v>0</v>
      </c>
      <c r="G67" s="227"/>
    </row>
    <row r="68" spans="1:15" hidden="1" outlineLevel="1" x14ac:dyDescent="0.65">
      <c r="A68" s="11"/>
      <c r="B68" s="10"/>
      <c r="C68" s="364"/>
      <c r="D68" s="10">
        <f t="shared" si="12"/>
        <v>0</v>
      </c>
      <c r="F68" s="189">
        <f t="shared" si="11"/>
        <v>0</v>
      </c>
      <c r="G68" s="227"/>
    </row>
    <row r="69" spans="1:15" ht="63.75" customHeight="1" collapsed="1" thickBot="1" x14ac:dyDescent="0.7">
      <c r="A69" s="18" t="s">
        <v>9</v>
      </c>
      <c r="B69" s="17" t="s">
        <v>29</v>
      </c>
      <c r="C69" s="366" t="s">
        <v>147</v>
      </c>
      <c r="D69" s="85" t="s">
        <v>148</v>
      </c>
      <c r="E69" s="327" t="s">
        <v>146</v>
      </c>
      <c r="G69" s="227"/>
      <c r="J69" s="184"/>
    </row>
    <row r="70" spans="1:15" ht="21.75" customHeight="1" thickBot="1" x14ac:dyDescent="0.7">
      <c r="A70" s="303">
        <f>SUM(D71:D86)</f>
        <v>588736.4</v>
      </c>
      <c r="B70" s="21" t="s">
        <v>4</v>
      </c>
      <c r="C70" s="362" t="s">
        <v>5</v>
      </c>
      <c r="D70" s="86">
        <f>SUM(D71:D83)</f>
        <v>588736.4</v>
      </c>
      <c r="E70" s="328">
        <f>SUM(F71:F86)</f>
        <v>603450</v>
      </c>
      <c r="F70" s="664" t="s">
        <v>54</v>
      </c>
      <c r="G70" s="665"/>
      <c r="H70" s="665"/>
      <c r="J70" s="78" t="str">
        <f>A73</f>
        <v>aljzat kiegyenlítés</v>
      </c>
      <c r="K70" s="23" t="s">
        <v>47</v>
      </c>
      <c r="L70" s="24" t="s">
        <v>48</v>
      </c>
      <c r="M70" s="24" t="s">
        <v>49</v>
      </c>
      <c r="N70" s="25" t="s">
        <v>50</v>
      </c>
      <c r="O70" s="493">
        <v>6000</v>
      </c>
    </row>
    <row r="71" spans="1:15" ht="22.5" thickBot="1" x14ac:dyDescent="0.4">
      <c r="A71" s="45" t="s">
        <v>271</v>
      </c>
      <c r="B71" s="46">
        <v>5000</v>
      </c>
      <c r="C71" s="315">
        <v>5</v>
      </c>
      <c r="D71" s="41">
        <f t="shared" ref="D71:D81" si="13">B71*C71</f>
        <v>25000</v>
      </c>
      <c r="E71" s="320">
        <f t="shared" ref="E71" si="14">C71</f>
        <v>5</v>
      </c>
      <c r="F71" s="469">
        <f>E71*B71</f>
        <v>25000</v>
      </c>
      <c r="G71" s="304"/>
      <c r="J71" s="32">
        <f>Díj!C89+Díj!C88</f>
        <v>15.389999999999999</v>
      </c>
      <c r="K71" s="28">
        <v>1.5</v>
      </c>
      <c r="L71" s="29">
        <f>J71*K71*10</f>
        <v>230.84999999999997</v>
      </c>
      <c r="M71" s="30">
        <f>L71*1.6</f>
        <v>369.35999999999996</v>
      </c>
      <c r="N71" s="244">
        <f>M71/25</f>
        <v>14.774399999999998</v>
      </c>
      <c r="O71" s="31">
        <f>N71*O70</f>
        <v>88646.399999999994</v>
      </c>
    </row>
    <row r="72" spans="1:15" ht="31.5" thickBot="1" x14ac:dyDescent="0.5">
      <c r="A72" s="43" t="s">
        <v>317</v>
      </c>
      <c r="B72" s="46">
        <v>5000</v>
      </c>
      <c r="C72" s="315">
        <f>N58</f>
        <v>11.328000000000001</v>
      </c>
      <c r="D72" s="41">
        <f t="shared" si="13"/>
        <v>56640.000000000007</v>
      </c>
      <c r="E72" s="534">
        <v>8</v>
      </c>
      <c r="F72" s="306">
        <f>E72*B72</f>
        <v>40000</v>
      </c>
      <c r="G72" s="305"/>
      <c r="J72" s="159"/>
      <c r="K72" s="159"/>
      <c r="L72" s="159"/>
    </row>
    <row r="73" spans="1:15" x14ac:dyDescent="0.35">
      <c r="A73" s="43" t="s">
        <v>157</v>
      </c>
      <c r="B73" s="495">
        <v>6000</v>
      </c>
      <c r="C73" s="316">
        <f>N71</f>
        <v>14.774399999999998</v>
      </c>
      <c r="D73" s="41">
        <f t="shared" si="13"/>
        <v>88646.399999999994</v>
      </c>
      <c r="E73" s="494">
        <v>15</v>
      </c>
      <c r="F73" s="489">
        <f>E73*B73</f>
        <v>90000</v>
      </c>
      <c r="G73" s="305"/>
      <c r="H73" s="307"/>
      <c r="J73" s="78" t="str">
        <f>A74</f>
        <v>aljzat beton wc</v>
      </c>
      <c r="K73" s="23" t="s">
        <v>47</v>
      </c>
      <c r="L73" s="24" t="s">
        <v>48</v>
      </c>
      <c r="M73" s="24" t="s">
        <v>49</v>
      </c>
      <c r="N73" s="25" t="s">
        <v>50</v>
      </c>
      <c r="O73" s="26">
        <v>1500</v>
      </c>
    </row>
    <row r="74" spans="1:15" s="263" customFormat="1" ht="22.5" thickBot="1" x14ac:dyDescent="0.4">
      <c r="A74" s="43" t="s">
        <v>349</v>
      </c>
      <c r="B74" s="248">
        <v>2500</v>
      </c>
      <c r="C74" s="315">
        <f>N74</f>
        <v>6</v>
      </c>
      <c r="D74" s="41">
        <f t="shared" si="13"/>
        <v>15000</v>
      </c>
      <c r="E74" s="443">
        <f>N74</f>
        <v>6</v>
      </c>
      <c r="F74" s="306">
        <f t="shared" ref="F74:F82" si="15">E74*B74</f>
        <v>15000</v>
      </c>
      <c r="G74" s="305"/>
      <c r="H74" s="307"/>
      <c r="I74"/>
      <c r="J74" s="264">
        <v>1.5</v>
      </c>
      <c r="K74" s="265">
        <v>5</v>
      </c>
      <c r="L74" s="266">
        <f>J74*K74*10</f>
        <v>75</v>
      </c>
      <c r="M74" s="267">
        <f>L74*1.6</f>
        <v>120</v>
      </c>
      <c r="N74" s="268">
        <f>M74/20</f>
        <v>6</v>
      </c>
      <c r="O74" s="269">
        <f>N74*O73</f>
        <v>9000</v>
      </c>
    </row>
    <row r="75" spans="1:15" ht="31" x14ac:dyDescent="0.35">
      <c r="A75" s="43" t="s">
        <v>336</v>
      </c>
      <c r="B75" s="41">
        <v>5000</v>
      </c>
      <c r="C75" s="317">
        <v>6</v>
      </c>
      <c r="D75" s="41">
        <f t="shared" si="13"/>
        <v>30000</v>
      </c>
      <c r="E75" s="532">
        <v>6</v>
      </c>
      <c r="F75" s="306">
        <f t="shared" si="15"/>
        <v>30000</v>
      </c>
      <c r="G75" s="305"/>
    </row>
    <row r="76" spans="1:15" ht="22.5" thickBot="1" x14ac:dyDescent="0.4">
      <c r="A76" s="43" t="s">
        <v>337</v>
      </c>
      <c r="B76" s="41">
        <v>5000</v>
      </c>
      <c r="C76" s="317"/>
      <c r="D76" s="41"/>
      <c r="E76" s="533">
        <v>6</v>
      </c>
      <c r="F76" s="306">
        <f t="shared" si="15"/>
        <v>30000</v>
      </c>
      <c r="G76" s="305"/>
    </row>
    <row r="77" spans="1:15" ht="46.5" x14ac:dyDescent="0.35">
      <c r="A77" s="43" t="s">
        <v>205</v>
      </c>
      <c r="B77" s="41">
        <v>12000</v>
      </c>
      <c r="C77" s="168">
        <v>7.25</v>
      </c>
      <c r="D77" s="41">
        <f t="shared" si="13"/>
        <v>87000</v>
      </c>
      <c r="E77" s="312">
        <f>C77</f>
        <v>7.25</v>
      </c>
      <c r="F77" s="434">
        <f t="shared" si="15"/>
        <v>87000</v>
      </c>
      <c r="G77" s="305"/>
      <c r="J77" s="78" t="s">
        <v>171</v>
      </c>
      <c r="K77" s="23" t="s">
        <v>47</v>
      </c>
      <c r="L77" s="24" t="s">
        <v>48</v>
      </c>
      <c r="M77" s="24" t="s">
        <v>49</v>
      </c>
      <c r="N77" s="25" t="s">
        <v>50</v>
      </c>
      <c r="O77" s="26">
        <v>2000</v>
      </c>
    </row>
    <row r="78" spans="1:15" ht="22.5" thickBot="1" x14ac:dyDescent="0.4">
      <c r="A78" s="455" t="s">
        <v>342</v>
      </c>
      <c r="B78" s="41">
        <v>8000</v>
      </c>
      <c r="C78" s="168">
        <f>Díj!C57</f>
        <v>12.54</v>
      </c>
      <c r="D78" s="41">
        <f t="shared" si="13"/>
        <v>100320</v>
      </c>
      <c r="E78" s="312">
        <f>C78</f>
        <v>12.54</v>
      </c>
      <c r="F78" s="456">
        <f t="shared" si="15"/>
        <v>100320</v>
      </c>
      <c r="G78" s="305"/>
      <c r="J78" s="32">
        <v>3</v>
      </c>
      <c r="K78" s="28">
        <v>2</v>
      </c>
      <c r="L78" s="29">
        <f>J78*K78*10</f>
        <v>60</v>
      </c>
      <c r="M78" s="30">
        <f>L78*1.6</f>
        <v>96</v>
      </c>
      <c r="N78" s="33">
        <f>M78/25</f>
        <v>3.84</v>
      </c>
      <c r="O78" s="31">
        <f>N78*O77</f>
        <v>7680</v>
      </c>
    </row>
    <row r="79" spans="1:15" ht="31" x14ac:dyDescent="0.35">
      <c r="A79" s="43" t="s">
        <v>272</v>
      </c>
      <c r="B79" s="41">
        <v>7000</v>
      </c>
      <c r="C79" s="138">
        <f>Díj!C59</f>
        <v>16.899999999999999</v>
      </c>
      <c r="D79" s="41">
        <f t="shared" si="13"/>
        <v>118299.99999999999</v>
      </c>
      <c r="E79" s="453">
        <f t="shared" ref="E79:E86" si="16">C79</f>
        <v>16.899999999999999</v>
      </c>
      <c r="F79" s="306">
        <f t="shared" si="15"/>
        <v>118299.99999999999</v>
      </c>
      <c r="G79" s="305"/>
      <c r="M79" s="441"/>
      <c r="N79" s="35"/>
    </row>
    <row r="80" spans="1:15" x14ac:dyDescent="0.65">
      <c r="A80" s="11" t="s">
        <v>341</v>
      </c>
      <c r="B80" s="10">
        <v>9000</v>
      </c>
      <c r="C80" s="319">
        <f>Díj!C60</f>
        <v>2.87</v>
      </c>
      <c r="D80" s="41">
        <f t="shared" si="13"/>
        <v>25830</v>
      </c>
      <c r="E80" s="321">
        <f t="shared" si="16"/>
        <v>2.87</v>
      </c>
      <c r="F80" s="434">
        <f t="shared" si="15"/>
        <v>25830</v>
      </c>
      <c r="G80" s="305"/>
      <c r="K80" s="54"/>
      <c r="M80" s="34"/>
      <c r="N80" s="35"/>
    </row>
    <row r="81" spans="1:13" x14ac:dyDescent="0.65">
      <c r="A81" s="11" t="s">
        <v>318</v>
      </c>
      <c r="B81" s="41">
        <v>20000</v>
      </c>
      <c r="C81" s="318">
        <v>1</v>
      </c>
      <c r="D81" s="41">
        <f t="shared" si="13"/>
        <v>20000</v>
      </c>
      <c r="E81" s="322">
        <f t="shared" si="16"/>
        <v>1</v>
      </c>
      <c r="F81" s="434">
        <f t="shared" si="15"/>
        <v>20000</v>
      </c>
      <c r="G81" s="301"/>
      <c r="K81" s="454"/>
      <c r="M81" s="34"/>
    </row>
    <row r="82" spans="1:13" x14ac:dyDescent="0.65">
      <c r="A82" s="11" t="s">
        <v>333</v>
      </c>
      <c r="B82" s="41">
        <v>20000</v>
      </c>
      <c r="C82" s="318">
        <v>1</v>
      </c>
      <c r="D82" s="41">
        <f t="shared" ref="D82" si="17">B82*C82</f>
        <v>20000</v>
      </c>
      <c r="E82" s="322">
        <f t="shared" ref="E82" si="18">C82</f>
        <v>1</v>
      </c>
      <c r="F82" s="434">
        <f t="shared" si="15"/>
        <v>20000</v>
      </c>
      <c r="G82" s="301"/>
      <c r="K82" s="454"/>
      <c r="M82" s="34"/>
    </row>
    <row r="83" spans="1:13" hidden="1" outlineLevel="1" x14ac:dyDescent="0.65">
      <c r="A83" s="11" t="s">
        <v>352</v>
      </c>
      <c r="B83" s="41">
        <v>400</v>
      </c>
      <c r="C83" s="505">
        <v>5</v>
      </c>
      <c r="D83" s="41">
        <f t="shared" ref="D83" si="19">B83*C83</f>
        <v>2000</v>
      </c>
      <c r="E83" s="506">
        <f t="shared" ref="E83" si="20">C83</f>
        <v>5</v>
      </c>
      <c r="F83" s="504">
        <f t="shared" ref="F83" si="21">E83*B83</f>
        <v>2000</v>
      </c>
      <c r="G83" s="227"/>
      <c r="K83" s="454"/>
      <c r="M83" s="34"/>
    </row>
    <row r="84" spans="1:13" ht="22.5" hidden="1" outlineLevel="1" thickBot="1" x14ac:dyDescent="0.7">
      <c r="A84" s="11"/>
      <c r="B84" s="10"/>
      <c r="C84" s="372"/>
      <c r="D84" s="10">
        <f>B84*C84</f>
        <v>0</v>
      </c>
      <c r="E84" s="312">
        <f t="shared" si="16"/>
        <v>0</v>
      </c>
      <c r="F84" s="189"/>
      <c r="G84" s="227"/>
      <c r="K84" s="454"/>
      <c r="M84" s="34"/>
    </row>
    <row r="85" spans="1:13" ht="15.75" hidden="1" customHeight="1" outlineLevel="1" x14ac:dyDescent="0.35">
      <c r="A85" s="74"/>
      <c r="B85" s="75"/>
      <c r="C85" s="164"/>
      <c r="D85" s="75"/>
      <c r="E85" s="312">
        <f t="shared" si="16"/>
        <v>0</v>
      </c>
      <c r="F85" s="189"/>
      <c r="G85" s="227"/>
      <c r="I85" s="87"/>
      <c r="J85" s="88"/>
      <c r="K85" s="454"/>
      <c r="M85" s="34"/>
    </row>
    <row r="86" spans="1:13" ht="15.75" hidden="1" customHeight="1" outlineLevel="1" x14ac:dyDescent="0.35">
      <c r="A86" s="43"/>
      <c r="B86" s="41"/>
      <c r="C86" s="106"/>
      <c r="D86" s="79"/>
      <c r="E86" s="312">
        <f t="shared" si="16"/>
        <v>0</v>
      </c>
      <c r="F86" s="189"/>
      <c r="G86" s="227"/>
      <c r="I86" s="87"/>
      <c r="J86" s="88"/>
      <c r="K86" s="454"/>
      <c r="M86" s="34"/>
    </row>
    <row r="87" spans="1:13" ht="63.75" customHeight="1" collapsed="1" thickBot="1" x14ac:dyDescent="0.7">
      <c r="A87" s="18" t="s">
        <v>227</v>
      </c>
      <c r="B87" s="17" t="s">
        <v>29</v>
      </c>
      <c r="C87" s="366" t="s">
        <v>147</v>
      </c>
      <c r="D87" s="85" t="s">
        <v>148</v>
      </c>
      <c r="E87" s="327" t="s">
        <v>146</v>
      </c>
      <c r="J87" s="51"/>
      <c r="K87" s="454"/>
      <c r="M87" s="34"/>
    </row>
    <row r="88" spans="1:13" ht="22.5" thickBot="1" x14ac:dyDescent="0.7">
      <c r="A88" s="52">
        <f>SUM(D89:D94)</f>
        <v>0</v>
      </c>
      <c r="B88" s="21" t="s">
        <v>4</v>
      </c>
      <c r="C88" s="362" t="s">
        <v>5</v>
      </c>
      <c r="D88" s="86">
        <f>SUM(D89:D96)</f>
        <v>0</v>
      </c>
      <c r="E88" s="328">
        <f>SUM(F89:F93)</f>
        <v>0</v>
      </c>
      <c r="F88" s="655" t="s">
        <v>54</v>
      </c>
      <c r="G88" s="656"/>
      <c r="H88" s="656"/>
    </row>
    <row r="89" spans="1:13" s="251" customFormat="1" hidden="1" outlineLevel="1" x14ac:dyDescent="0.4">
      <c r="A89" s="247" t="s">
        <v>228</v>
      </c>
      <c r="B89" s="248">
        <f>K94/6</f>
        <v>2816.6666666666665</v>
      </c>
      <c r="C89" s="373"/>
      <c r="D89" s="249">
        <f t="shared" ref="D89:D96" si="22">B89*C89</f>
        <v>0</v>
      </c>
      <c r="E89" s="334">
        <f>C89</f>
        <v>0</v>
      </c>
      <c r="F89" s="250"/>
      <c r="G89" s="228"/>
      <c r="H89" s="306">
        <f t="shared" ref="H89:H96" si="23">E89*B89</f>
        <v>0</v>
      </c>
      <c r="I89"/>
      <c r="J89" s="251" t="s">
        <v>244</v>
      </c>
      <c r="K89" s="253">
        <f>L89*1.3</f>
        <v>58500</v>
      </c>
      <c r="L89" s="252">
        <v>45000</v>
      </c>
    </row>
    <row r="90" spans="1:13" s="251" customFormat="1" hidden="1" outlineLevel="1" x14ac:dyDescent="0.4">
      <c r="A90" s="247" t="s">
        <v>229</v>
      </c>
      <c r="B90" s="248">
        <f>K93/6</f>
        <v>9316.6666666666661</v>
      </c>
      <c r="C90" s="373"/>
      <c r="D90" s="248">
        <f t="shared" si="22"/>
        <v>0</v>
      </c>
      <c r="E90" s="334">
        <f>C90</f>
        <v>0</v>
      </c>
      <c r="F90" s="250"/>
      <c r="G90" s="229"/>
      <c r="H90" s="306">
        <f t="shared" si="23"/>
        <v>0</v>
      </c>
      <c r="I90"/>
      <c r="J90" s="251" t="s">
        <v>245</v>
      </c>
      <c r="K90" s="253">
        <f t="shared" ref="K90:K96" si="24">L90*1.3</f>
        <v>89700</v>
      </c>
      <c r="L90" s="252">
        <v>69000</v>
      </c>
    </row>
    <row r="91" spans="1:13" s="251" customFormat="1" hidden="1" outlineLevel="1" x14ac:dyDescent="0.4">
      <c r="A91" s="247" t="s">
        <v>230</v>
      </c>
      <c r="B91" s="248">
        <v>33000</v>
      </c>
      <c r="C91" s="374"/>
      <c r="D91" s="248">
        <f t="shared" si="22"/>
        <v>0</v>
      </c>
      <c r="E91" s="335"/>
      <c r="F91" s="250"/>
      <c r="G91" s="229"/>
      <c r="H91" s="306">
        <f t="shared" si="23"/>
        <v>0</v>
      </c>
      <c r="I91"/>
      <c r="J91" s="251" t="s">
        <v>246</v>
      </c>
      <c r="K91" s="253">
        <f t="shared" si="24"/>
        <v>113100</v>
      </c>
      <c r="L91" s="252">
        <v>87000</v>
      </c>
    </row>
    <row r="92" spans="1:13" s="251" customFormat="1" hidden="1" outlineLevel="1" x14ac:dyDescent="0.4">
      <c r="A92" s="247" t="s">
        <v>238</v>
      </c>
      <c r="B92" s="249">
        <v>6000</v>
      </c>
      <c r="C92" s="375"/>
      <c r="D92" s="248">
        <f t="shared" si="22"/>
        <v>0</v>
      </c>
      <c r="E92" s="336">
        <f>C92</f>
        <v>0</v>
      </c>
      <c r="F92" s="250"/>
      <c r="G92" s="229"/>
      <c r="H92" s="306">
        <f t="shared" si="23"/>
        <v>0</v>
      </c>
      <c r="I92"/>
      <c r="J92" s="251" t="s">
        <v>247</v>
      </c>
      <c r="K92" s="253">
        <f t="shared" si="24"/>
        <v>42900</v>
      </c>
      <c r="L92" s="252">
        <v>33000</v>
      </c>
    </row>
    <row r="93" spans="1:13" s="251" customFormat="1" hidden="1" outlineLevel="1" x14ac:dyDescent="0.4">
      <c r="A93" s="247" t="s">
        <v>231</v>
      </c>
      <c r="B93" s="249">
        <v>10000</v>
      </c>
      <c r="C93" s="376"/>
      <c r="D93" s="248">
        <f t="shared" si="22"/>
        <v>0</v>
      </c>
      <c r="E93" s="337">
        <f>C93</f>
        <v>0</v>
      </c>
      <c r="F93" s="250"/>
      <c r="G93" s="229"/>
      <c r="H93" s="306">
        <f t="shared" si="23"/>
        <v>0</v>
      </c>
      <c r="I93"/>
      <c r="J93" s="251" t="s">
        <v>248</v>
      </c>
      <c r="K93" s="253">
        <f t="shared" si="24"/>
        <v>55900</v>
      </c>
      <c r="L93" s="252">
        <v>43000</v>
      </c>
    </row>
    <row r="94" spans="1:13" s="251" customFormat="1" hidden="1" outlineLevel="1" x14ac:dyDescent="0.4">
      <c r="A94" s="247" t="s">
        <v>225</v>
      </c>
      <c r="B94" s="249">
        <v>2000</v>
      </c>
      <c r="C94" s="377"/>
      <c r="D94" s="248">
        <f t="shared" si="22"/>
        <v>0</v>
      </c>
      <c r="E94" s="338">
        <f>C94</f>
        <v>0</v>
      </c>
      <c r="F94" s="250"/>
      <c r="G94" s="229"/>
      <c r="H94" s="306">
        <f t="shared" si="23"/>
        <v>0</v>
      </c>
      <c r="I94"/>
      <c r="J94" s="251" t="s">
        <v>249</v>
      </c>
      <c r="K94" s="253">
        <f t="shared" si="24"/>
        <v>16900</v>
      </c>
      <c r="L94" s="252">
        <v>13000</v>
      </c>
    </row>
    <row r="95" spans="1:13" s="251" customFormat="1" hidden="1" outlineLevel="1" x14ac:dyDescent="0.4">
      <c r="A95" s="247" t="s">
        <v>250</v>
      </c>
      <c r="B95" s="249">
        <v>3000</v>
      </c>
      <c r="C95" s="378"/>
      <c r="D95" s="248">
        <f t="shared" si="22"/>
        <v>0</v>
      </c>
      <c r="E95" s="339">
        <f>C95</f>
        <v>0</v>
      </c>
      <c r="F95" s="250"/>
      <c r="G95" s="229"/>
      <c r="H95" s="306">
        <f t="shared" si="23"/>
        <v>0</v>
      </c>
      <c r="I95"/>
      <c r="J95" s="251" t="s">
        <v>249</v>
      </c>
      <c r="K95" s="253">
        <f t="shared" si="24"/>
        <v>16900</v>
      </c>
      <c r="L95" s="252">
        <v>13000</v>
      </c>
    </row>
    <row r="96" spans="1:13" s="251" customFormat="1" hidden="1" outlineLevel="1" x14ac:dyDescent="0.4">
      <c r="A96" s="247" t="s">
        <v>251</v>
      </c>
      <c r="B96" s="249">
        <v>6000</v>
      </c>
      <c r="C96" s="378"/>
      <c r="D96" s="248">
        <f t="shared" si="22"/>
        <v>0</v>
      </c>
      <c r="E96" s="339">
        <f>C96</f>
        <v>0</v>
      </c>
      <c r="F96" s="250"/>
      <c r="G96" s="229"/>
      <c r="H96" s="306">
        <f t="shared" si="23"/>
        <v>0</v>
      </c>
      <c r="I96"/>
      <c r="J96" s="251" t="s">
        <v>249</v>
      </c>
      <c r="K96" s="253">
        <f t="shared" si="24"/>
        <v>16900</v>
      </c>
      <c r="L96" s="252">
        <v>13000</v>
      </c>
    </row>
    <row r="97" spans="1:15" ht="63.75" customHeight="1" collapsed="1" thickBot="1" x14ac:dyDescent="0.7">
      <c r="A97" s="18" t="s">
        <v>20</v>
      </c>
      <c r="B97" s="17" t="s">
        <v>29</v>
      </c>
      <c r="C97" s="366" t="s">
        <v>147</v>
      </c>
      <c r="D97" s="85" t="s">
        <v>148</v>
      </c>
      <c r="E97" s="327" t="s">
        <v>146</v>
      </c>
      <c r="G97" s="230"/>
      <c r="H97" s="308"/>
    </row>
    <row r="98" spans="1:15" ht="22.5" thickBot="1" x14ac:dyDescent="0.7">
      <c r="A98" s="52">
        <f>SUM(D99:D106)</f>
        <v>153322.12</v>
      </c>
      <c r="B98" s="21" t="s">
        <v>4</v>
      </c>
      <c r="C98" s="362" t="s">
        <v>5</v>
      </c>
      <c r="D98" s="86">
        <f>SUM(D99:D106)</f>
        <v>153322.12</v>
      </c>
      <c r="E98" s="328">
        <f>SUM(F99:F105)</f>
        <v>164164.35999999999</v>
      </c>
      <c r="F98" s="658" t="s">
        <v>54</v>
      </c>
      <c r="G98" s="659"/>
      <c r="H98" s="659"/>
    </row>
    <row r="99" spans="1:15" x14ac:dyDescent="0.65">
      <c r="A99" s="13" t="s">
        <v>319</v>
      </c>
      <c r="B99" s="302">
        <v>7000</v>
      </c>
      <c r="C99" s="379">
        <f>N100</f>
        <v>7.8796799999999996</v>
      </c>
      <c r="D99" s="12">
        <f t="shared" ref="D99:D106" si="25">B99*C99</f>
        <v>55157.759999999995</v>
      </c>
      <c r="E99" s="486">
        <v>8</v>
      </c>
      <c r="F99" s="487">
        <f>E99*B99</f>
        <v>56000</v>
      </c>
      <c r="G99" s="304"/>
      <c r="J99" s="409" t="s">
        <v>321</v>
      </c>
      <c r="K99" s="410" t="s">
        <v>47</v>
      </c>
      <c r="L99" s="411" t="s">
        <v>48</v>
      </c>
      <c r="M99" s="411" t="s">
        <v>49</v>
      </c>
      <c r="N99" s="412" t="s">
        <v>50</v>
      </c>
      <c r="O99" s="413">
        <v>7000</v>
      </c>
    </row>
    <row r="100" spans="1:15" s="63" customFormat="1" ht="31.5" thickBot="1" x14ac:dyDescent="0.4">
      <c r="A100" s="43" t="s">
        <v>172</v>
      </c>
      <c r="B100" s="41">
        <v>1500</v>
      </c>
      <c r="C100" s="380">
        <v>15</v>
      </c>
      <c r="D100" s="46">
        <f t="shared" si="25"/>
        <v>22500</v>
      </c>
      <c r="E100" s="581">
        <v>15</v>
      </c>
      <c r="F100" s="579">
        <f>E100*B100</f>
        <v>22500</v>
      </c>
      <c r="G100" s="301"/>
      <c r="H100" s="287"/>
      <c r="J100" s="414">
        <f>Díj!C89+Díj!C88</f>
        <v>15.389999999999999</v>
      </c>
      <c r="K100" s="415">
        <v>0.8</v>
      </c>
      <c r="L100" s="416">
        <f>J100*K100*10</f>
        <v>123.11999999999999</v>
      </c>
      <c r="M100" s="417">
        <f>L100*1.6</f>
        <v>196.99199999999999</v>
      </c>
      <c r="N100" s="418">
        <f>M100/25</f>
        <v>7.8796799999999996</v>
      </c>
      <c r="O100" s="419">
        <f>N100*O99</f>
        <v>55157.759999999995</v>
      </c>
    </row>
    <row r="101" spans="1:15" ht="22.5" thickBot="1" x14ac:dyDescent="0.7">
      <c r="A101" s="543" t="s">
        <v>178</v>
      </c>
      <c r="B101" s="10">
        <v>1500</v>
      </c>
      <c r="C101" s="381">
        <f>Díj!C92</f>
        <v>17.75</v>
      </c>
      <c r="D101" s="12">
        <f t="shared" si="25"/>
        <v>26625</v>
      </c>
      <c r="E101" s="580">
        <f>C101</f>
        <v>17.75</v>
      </c>
      <c r="F101" s="579">
        <f>E101*B101</f>
        <v>26625</v>
      </c>
      <c r="G101" s="301"/>
    </row>
    <row r="102" spans="1:15" x14ac:dyDescent="0.65">
      <c r="A102" s="13" t="s">
        <v>320</v>
      </c>
      <c r="B102" s="408">
        <v>4000</v>
      </c>
      <c r="C102" s="381">
        <f>N103</f>
        <v>4.2598400000000005</v>
      </c>
      <c r="D102" s="12">
        <f t="shared" si="25"/>
        <v>17039.36</v>
      </c>
      <c r="E102" s="486">
        <f t="shared" ref="E102" si="26">C102</f>
        <v>4.2598400000000005</v>
      </c>
      <c r="F102" s="487">
        <f>E102*B102</f>
        <v>17039.36</v>
      </c>
      <c r="G102" s="301"/>
      <c r="J102" s="409" t="s">
        <v>322</v>
      </c>
      <c r="K102" s="410" t="s">
        <v>47</v>
      </c>
      <c r="L102" s="411" t="s">
        <v>48</v>
      </c>
      <c r="M102" s="411" t="s">
        <v>49</v>
      </c>
      <c r="N102" s="412" t="s">
        <v>50</v>
      </c>
      <c r="O102" s="413">
        <v>4000</v>
      </c>
    </row>
    <row r="103" spans="1:15" ht="22.5" thickBot="1" x14ac:dyDescent="0.7">
      <c r="A103" s="543" t="s">
        <v>256</v>
      </c>
      <c r="B103" s="10">
        <v>3000</v>
      </c>
      <c r="C103" s="382">
        <v>4</v>
      </c>
      <c r="D103" s="12">
        <f t="shared" si="25"/>
        <v>12000</v>
      </c>
      <c r="E103" s="605">
        <f>C103</f>
        <v>4</v>
      </c>
      <c r="F103" s="606">
        <f>E103*B103</f>
        <v>12000</v>
      </c>
      <c r="G103" s="301"/>
      <c r="J103" s="414">
        <f>Díj!C87</f>
        <v>8.32</v>
      </c>
      <c r="K103" s="415">
        <v>0.8</v>
      </c>
      <c r="L103" s="416">
        <f>J103*K103*10</f>
        <v>66.56</v>
      </c>
      <c r="M103" s="417">
        <f>L103*1.6</f>
        <v>106.49600000000001</v>
      </c>
      <c r="N103" s="418">
        <f>M103/25</f>
        <v>4.2598400000000005</v>
      </c>
      <c r="O103" s="419">
        <f>N103*O102</f>
        <v>17039.36</v>
      </c>
    </row>
    <row r="104" spans="1:15" ht="21" customHeight="1" x14ac:dyDescent="0.65">
      <c r="A104" s="43" t="s">
        <v>323</v>
      </c>
      <c r="B104" s="10">
        <v>2300</v>
      </c>
      <c r="C104" s="368"/>
      <c r="D104" s="12">
        <f t="shared" si="25"/>
        <v>0</v>
      </c>
      <c r="E104" s="340"/>
      <c r="G104" s="301"/>
      <c r="H104" s="306"/>
      <c r="J104" s="88"/>
    </row>
    <row r="105" spans="1:15" ht="21" customHeight="1" x14ac:dyDescent="0.65">
      <c r="A105" s="43" t="s">
        <v>273</v>
      </c>
      <c r="B105" s="10">
        <v>20000</v>
      </c>
      <c r="C105" s="407">
        <v>1</v>
      </c>
      <c r="D105" s="12">
        <f t="shared" si="25"/>
        <v>20000</v>
      </c>
      <c r="E105" s="488">
        <v>1.5</v>
      </c>
      <c r="F105" s="489">
        <f>E105*B105</f>
        <v>30000</v>
      </c>
      <c r="G105" s="227"/>
      <c r="J105" s="88"/>
    </row>
    <row r="106" spans="1:15" hidden="1" outlineLevel="1" x14ac:dyDescent="0.65">
      <c r="A106" s="43" t="s">
        <v>173</v>
      </c>
      <c r="B106" s="10">
        <v>1103</v>
      </c>
      <c r="C106" s="384"/>
      <c r="D106" s="12">
        <f t="shared" si="25"/>
        <v>0</v>
      </c>
      <c r="E106" s="341">
        <f>C106</f>
        <v>0</v>
      </c>
      <c r="F106" s="189"/>
      <c r="G106" s="227"/>
      <c r="H106" s="306">
        <f t="shared" ref="H106" si="27">E106*B106</f>
        <v>0</v>
      </c>
    </row>
    <row r="107" spans="1:15" ht="63.75" customHeight="1" collapsed="1" thickBot="1" x14ac:dyDescent="0.7">
      <c r="A107" s="18" t="s">
        <v>21</v>
      </c>
      <c r="B107" s="17" t="s">
        <v>29</v>
      </c>
      <c r="C107" s="366" t="s">
        <v>147</v>
      </c>
      <c r="D107" s="85" t="s">
        <v>148</v>
      </c>
      <c r="E107" s="327" t="s">
        <v>146</v>
      </c>
      <c r="G107" s="227"/>
      <c r="H107" s="306"/>
    </row>
    <row r="108" spans="1:15" ht="22.5" thickBot="1" x14ac:dyDescent="0.7">
      <c r="A108" s="52">
        <f>SUM(D109:D117)</f>
        <v>175203.712</v>
      </c>
      <c r="B108" s="21" t="s">
        <v>4</v>
      </c>
      <c r="C108" s="362" t="s">
        <v>5</v>
      </c>
      <c r="D108" s="86">
        <f>SUM(D109:D117)</f>
        <v>175203.712</v>
      </c>
      <c r="E108" s="342">
        <f>SUM(F109:F116)</f>
        <v>178000</v>
      </c>
      <c r="F108" s="655" t="s">
        <v>54</v>
      </c>
      <c r="G108" s="656"/>
      <c r="H108" s="656"/>
      <c r="J108" s="652"/>
      <c r="K108" s="652"/>
      <c r="L108" s="652"/>
    </row>
    <row r="109" spans="1:15" x14ac:dyDescent="0.35">
      <c r="A109" s="43" t="s">
        <v>179</v>
      </c>
      <c r="B109" s="41">
        <v>7000</v>
      </c>
      <c r="C109" s="385">
        <f>N110</f>
        <v>5.8741760000000003</v>
      </c>
      <c r="D109" s="41">
        <f t="shared" ref="D109:D116" si="28">B109*C109</f>
        <v>41119.232000000004</v>
      </c>
      <c r="E109" s="490">
        <v>6</v>
      </c>
      <c r="F109" s="468">
        <f>E109*B109</f>
        <v>42000</v>
      </c>
      <c r="G109" s="304"/>
      <c r="J109" s="22" t="s">
        <v>68</v>
      </c>
      <c r="K109" s="23" t="s">
        <v>47</v>
      </c>
      <c r="L109" s="24" t="s">
        <v>48</v>
      </c>
      <c r="M109" s="24" t="s">
        <v>49</v>
      </c>
      <c r="N109" s="25" t="s">
        <v>50</v>
      </c>
      <c r="O109" s="26">
        <v>7000</v>
      </c>
    </row>
    <row r="110" spans="1:15" ht="31.5" thickBot="1" x14ac:dyDescent="0.4">
      <c r="A110" s="43" t="s">
        <v>180</v>
      </c>
      <c r="B110" s="41">
        <v>6000</v>
      </c>
      <c r="C110" s="385">
        <f>N113</f>
        <v>11.01408</v>
      </c>
      <c r="D110" s="41">
        <f t="shared" si="28"/>
        <v>66084.479999999996</v>
      </c>
      <c r="E110" s="490">
        <v>11</v>
      </c>
      <c r="F110" s="468">
        <f>E110*B110</f>
        <v>66000</v>
      </c>
      <c r="G110" s="305"/>
      <c r="I110" t="s">
        <v>280</v>
      </c>
      <c r="J110" s="27">
        <f>Díj!B122</f>
        <v>114.73</v>
      </c>
      <c r="K110" s="28">
        <v>0.08</v>
      </c>
      <c r="L110" s="29">
        <f>J110*K110*10</f>
        <v>91.783999999999992</v>
      </c>
      <c r="M110" s="30">
        <f>L110*1.6</f>
        <v>146.8544</v>
      </c>
      <c r="N110" s="33">
        <f>M110/25</f>
        <v>5.8741760000000003</v>
      </c>
      <c r="O110" s="31">
        <f>N110*O109</f>
        <v>41119.232000000004</v>
      </c>
    </row>
    <row r="111" spans="1:15" ht="22.5" thickBot="1" x14ac:dyDescent="0.4">
      <c r="A111" s="43" t="s">
        <v>44</v>
      </c>
      <c r="B111" s="41">
        <v>1200</v>
      </c>
      <c r="C111" s="386">
        <v>5</v>
      </c>
      <c r="D111" s="41">
        <f t="shared" si="28"/>
        <v>6000</v>
      </c>
      <c r="E111" s="470">
        <f>C111</f>
        <v>5</v>
      </c>
      <c r="F111" s="468">
        <f>E111*B111</f>
        <v>6000</v>
      </c>
      <c r="G111" s="305"/>
    </row>
    <row r="112" spans="1:15" ht="31" x14ac:dyDescent="0.35">
      <c r="A112" s="43" t="s">
        <v>285</v>
      </c>
      <c r="B112" s="517">
        <v>12000</v>
      </c>
      <c r="C112" s="421">
        <v>3</v>
      </c>
      <c r="D112" s="41">
        <f t="shared" si="28"/>
        <v>36000</v>
      </c>
      <c r="E112" s="516">
        <v>3</v>
      </c>
      <c r="F112" s="468">
        <f>E112*B112</f>
        <v>36000</v>
      </c>
      <c r="G112" s="305"/>
      <c r="J112" s="22" t="s">
        <v>133</v>
      </c>
      <c r="K112" s="23" t="s">
        <v>47</v>
      </c>
      <c r="L112" s="24" t="s">
        <v>48</v>
      </c>
      <c r="M112" s="24" t="s">
        <v>49</v>
      </c>
      <c r="N112" s="25" t="s">
        <v>50</v>
      </c>
      <c r="O112" s="26">
        <v>6000</v>
      </c>
    </row>
    <row r="113" spans="1:15" ht="31.5" thickBot="1" x14ac:dyDescent="0.4">
      <c r="A113" s="300" t="s">
        <v>286</v>
      </c>
      <c r="B113" s="41">
        <v>12000</v>
      </c>
      <c r="C113" s="422">
        <v>0</v>
      </c>
      <c r="D113" s="41">
        <f t="shared" si="28"/>
        <v>0</v>
      </c>
      <c r="E113" s="423">
        <v>0</v>
      </c>
      <c r="F113" s="297"/>
      <c r="G113" s="305"/>
      <c r="H113" s="306">
        <f t="shared" ref="H113" si="29">E113*B113</f>
        <v>0</v>
      </c>
      <c r="J113" s="27">
        <f>Díj!B122</f>
        <v>114.73</v>
      </c>
      <c r="K113" s="28">
        <v>0.15</v>
      </c>
      <c r="L113" s="29">
        <f>J113*K113*10</f>
        <v>172.09499999999997</v>
      </c>
      <c r="M113" s="30">
        <f>L113*1.6</f>
        <v>275.35199999999998</v>
      </c>
      <c r="N113" s="33">
        <f>M113/25</f>
        <v>11.01408</v>
      </c>
      <c r="O113" s="31">
        <f>N113*O112</f>
        <v>66084.479999999996</v>
      </c>
    </row>
    <row r="114" spans="1:15" s="63" customFormat="1" x14ac:dyDescent="0.35">
      <c r="A114" s="43" t="s">
        <v>92</v>
      </c>
      <c r="B114" s="41">
        <v>2000</v>
      </c>
      <c r="C114" s="387"/>
      <c r="D114" s="41">
        <f t="shared" si="28"/>
        <v>0</v>
      </c>
      <c r="E114" s="472">
        <v>1</v>
      </c>
      <c r="F114" s="468">
        <f>E114*B114</f>
        <v>2000</v>
      </c>
      <c r="G114" s="305"/>
    </row>
    <row r="115" spans="1:15" s="63" customFormat="1" x14ac:dyDescent="0.35">
      <c r="A115" s="43" t="s">
        <v>181</v>
      </c>
      <c r="B115" s="41">
        <v>3200</v>
      </c>
      <c r="C115" s="386"/>
      <c r="D115" s="41">
        <f t="shared" si="28"/>
        <v>0</v>
      </c>
      <c r="E115" s="343"/>
      <c r="F115" s="87"/>
      <c r="G115" s="305"/>
      <c r="H115" s="309"/>
    </row>
    <row r="116" spans="1:15" x14ac:dyDescent="0.35">
      <c r="A116" s="300" t="s">
        <v>270</v>
      </c>
      <c r="B116" s="41">
        <v>13000</v>
      </c>
      <c r="C116" s="420">
        <v>2</v>
      </c>
      <c r="D116" s="41">
        <f t="shared" si="28"/>
        <v>26000</v>
      </c>
      <c r="E116" s="471">
        <f>C116</f>
        <v>2</v>
      </c>
      <c r="F116" s="468">
        <f>E116*B116</f>
        <v>26000</v>
      </c>
      <c r="G116" s="305"/>
    </row>
    <row r="117" spans="1:15" hidden="1" outlineLevel="1" x14ac:dyDescent="0.35">
      <c r="A117" s="66"/>
      <c r="B117" s="41"/>
      <c r="C117" s="386"/>
      <c r="D117" s="41"/>
      <c r="E117" s="343"/>
      <c r="F117" s="190"/>
      <c r="G117" s="229"/>
      <c r="H117" s="306">
        <f t="shared" ref="H117" si="30">E117*B117</f>
        <v>0</v>
      </c>
    </row>
    <row r="118" spans="1:15" hidden="1" outlineLevel="1" x14ac:dyDescent="0.35">
      <c r="A118" s="43"/>
      <c r="B118" s="41"/>
      <c r="C118" s="386"/>
      <c r="D118" s="41"/>
      <c r="E118" s="343"/>
      <c r="F118" s="190"/>
      <c r="G118" s="229"/>
      <c r="H118" s="306">
        <f t="shared" ref="H118:H124" si="31">E118*B118</f>
        <v>0</v>
      </c>
    </row>
    <row r="119" spans="1:15" hidden="1" outlineLevel="1" x14ac:dyDescent="0.35">
      <c r="A119" s="11"/>
      <c r="B119" s="10"/>
      <c r="C119" s="386"/>
      <c r="D119" s="41"/>
      <c r="E119" s="343"/>
      <c r="F119" s="190"/>
      <c r="G119" s="229"/>
      <c r="H119" s="306">
        <f t="shared" si="31"/>
        <v>0</v>
      </c>
    </row>
    <row r="120" spans="1:15" hidden="1" outlineLevel="1" x14ac:dyDescent="0.35">
      <c r="A120" s="43" t="s">
        <v>176</v>
      </c>
      <c r="B120" s="41">
        <v>160</v>
      </c>
      <c r="C120" s="386"/>
      <c r="D120" s="41"/>
      <c r="E120" s="343"/>
      <c r="F120" s="190"/>
      <c r="G120" s="229"/>
      <c r="H120" s="306">
        <f t="shared" si="31"/>
        <v>0</v>
      </c>
    </row>
    <row r="121" spans="1:15" hidden="1" outlineLevel="1" x14ac:dyDescent="0.35">
      <c r="A121" s="43" t="s">
        <v>177</v>
      </c>
      <c r="B121" s="41">
        <v>1500</v>
      </c>
      <c r="C121" s="386"/>
      <c r="D121" s="41"/>
      <c r="E121" s="343"/>
      <c r="F121" s="190"/>
      <c r="G121" s="229"/>
      <c r="H121" s="306">
        <f t="shared" si="31"/>
        <v>0</v>
      </c>
    </row>
    <row r="122" spans="1:15" hidden="1" outlineLevel="1" x14ac:dyDescent="0.35">
      <c r="A122" s="11"/>
      <c r="B122" s="10">
        <v>0</v>
      </c>
      <c r="C122" s="386"/>
      <c r="D122" s="41"/>
      <c r="E122" s="343"/>
      <c r="F122" s="190"/>
      <c r="G122" s="229"/>
      <c r="H122" s="306">
        <f t="shared" si="31"/>
        <v>0</v>
      </c>
    </row>
    <row r="123" spans="1:15" hidden="1" outlineLevel="1" x14ac:dyDescent="0.35">
      <c r="A123" s="11"/>
      <c r="B123" s="10">
        <v>0</v>
      </c>
      <c r="C123" s="386"/>
      <c r="D123" s="41"/>
      <c r="E123" s="343"/>
      <c r="F123" s="190"/>
      <c r="G123" s="229"/>
      <c r="H123" s="306">
        <f t="shared" si="31"/>
        <v>0</v>
      </c>
    </row>
    <row r="124" spans="1:15" hidden="1" outlineLevel="1" x14ac:dyDescent="0.35">
      <c r="A124" s="11"/>
      <c r="B124" s="10">
        <v>0</v>
      </c>
      <c r="C124" s="386"/>
      <c r="D124" s="41"/>
      <c r="E124" s="343"/>
      <c r="F124" s="190"/>
      <c r="G124" s="229"/>
      <c r="H124" s="306">
        <f t="shared" si="31"/>
        <v>0</v>
      </c>
    </row>
    <row r="125" spans="1:15" hidden="1" outlineLevel="1" x14ac:dyDescent="0.65">
      <c r="F125" s="190"/>
      <c r="G125" s="227"/>
    </row>
    <row r="126" spans="1:15" ht="63.75" customHeight="1" collapsed="1" thickBot="1" x14ac:dyDescent="0.7">
      <c r="A126" s="18" t="s">
        <v>22</v>
      </c>
      <c r="B126" s="17" t="s">
        <v>29</v>
      </c>
      <c r="C126" s="366" t="s">
        <v>147</v>
      </c>
      <c r="D126" s="85" t="s">
        <v>148</v>
      </c>
      <c r="E126" s="327" t="s">
        <v>146</v>
      </c>
      <c r="H126" s="306"/>
    </row>
    <row r="127" spans="1:15" ht="22.5" thickBot="1" x14ac:dyDescent="0.7">
      <c r="A127" s="52">
        <f>SUM(D128:D142)</f>
        <v>0</v>
      </c>
      <c r="B127" s="21" t="s">
        <v>4</v>
      </c>
      <c r="C127" s="362" t="s">
        <v>5</v>
      </c>
      <c r="D127" s="86">
        <f>SUM(D128:D143)</f>
        <v>0</v>
      </c>
      <c r="E127" s="328">
        <f>SUM(F128:F142)</f>
        <v>4000</v>
      </c>
      <c r="F127" s="655" t="s">
        <v>54</v>
      </c>
      <c r="G127" s="656"/>
      <c r="H127" s="656"/>
    </row>
    <row r="128" spans="1:15" x14ac:dyDescent="0.35">
      <c r="A128" s="43" t="s">
        <v>267</v>
      </c>
      <c r="B128" s="41">
        <v>4000</v>
      </c>
      <c r="C128" s="388"/>
      <c r="D128" s="46">
        <f>B128*C128</f>
        <v>0</v>
      </c>
      <c r="E128" s="339">
        <v>1</v>
      </c>
      <c r="F128" s="186">
        <f>E128*B128</f>
        <v>4000</v>
      </c>
      <c r="G128" s="228"/>
      <c r="H128" s="306"/>
    </row>
    <row r="129" spans="1:8" x14ac:dyDescent="0.35">
      <c r="A129" s="43" t="s">
        <v>268</v>
      </c>
      <c r="B129" s="41">
        <v>6000</v>
      </c>
      <c r="C129" s="388"/>
      <c r="D129" s="41">
        <f>B129*C129</f>
        <v>0</v>
      </c>
      <c r="E129" s="344"/>
      <c r="G129" s="229"/>
      <c r="H129" s="306"/>
    </row>
    <row r="130" spans="1:8" x14ac:dyDescent="0.35">
      <c r="A130" s="43" t="s">
        <v>161</v>
      </c>
      <c r="B130" s="41">
        <v>800</v>
      </c>
      <c r="C130" s="386"/>
      <c r="D130" s="41">
        <f>B130*C130</f>
        <v>0</v>
      </c>
      <c r="E130" s="343">
        <f t="shared" ref="E130:E142" si="32">C130</f>
        <v>0</v>
      </c>
      <c r="G130" s="229"/>
      <c r="H130" s="306"/>
    </row>
    <row r="131" spans="1:8" x14ac:dyDescent="0.35">
      <c r="A131" s="45" t="s">
        <v>45</v>
      </c>
      <c r="B131" s="46">
        <v>5000</v>
      </c>
      <c r="C131" s="389"/>
      <c r="D131" s="41">
        <f>B131*C131</f>
        <v>0</v>
      </c>
      <c r="E131" s="345">
        <f t="shared" si="32"/>
        <v>0</v>
      </c>
      <c r="F131" s="189"/>
      <c r="G131" s="229"/>
      <c r="H131" s="306"/>
    </row>
    <row r="132" spans="1:8" x14ac:dyDescent="0.35">
      <c r="A132" s="43" t="s">
        <v>46</v>
      </c>
      <c r="B132" s="41">
        <v>1500</v>
      </c>
      <c r="C132" s="389"/>
      <c r="D132" s="41">
        <f t="shared" ref="D132:D142" si="33">B132*C132</f>
        <v>0</v>
      </c>
      <c r="E132" s="345">
        <f t="shared" si="32"/>
        <v>0</v>
      </c>
      <c r="F132" s="190"/>
      <c r="G132" s="229"/>
      <c r="H132" s="306"/>
    </row>
    <row r="133" spans="1:8" hidden="1" outlineLevel="1" x14ac:dyDescent="0.35">
      <c r="C133" s="390">
        <v>0</v>
      </c>
      <c r="D133" s="41">
        <f t="shared" si="33"/>
        <v>0</v>
      </c>
      <c r="E133" s="346">
        <f t="shared" si="32"/>
        <v>0</v>
      </c>
      <c r="F133" s="190">
        <f t="shared" ref="F133:F142" si="34">D133</f>
        <v>0</v>
      </c>
      <c r="G133" s="229"/>
      <c r="H133" s="306"/>
    </row>
    <row r="134" spans="1:8" hidden="1" outlineLevel="1" x14ac:dyDescent="0.65">
      <c r="A134" s="43" t="s">
        <v>108</v>
      </c>
      <c r="B134" s="41"/>
      <c r="C134" s="364">
        <v>0</v>
      </c>
      <c r="D134" s="41">
        <f t="shared" si="33"/>
        <v>0</v>
      </c>
      <c r="E134" s="346">
        <f t="shared" si="32"/>
        <v>0</v>
      </c>
      <c r="F134" s="189">
        <f t="shared" si="34"/>
        <v>0</v>
      </c>
      <c r="G134" s="229"/>
      <c r="H134" s="306"/>
    </row>
    <row r="135" spans="1:8" hidden="1" outlineLevel="1" x14ac:dyDescent="0.65">
      <c r="A135" s="43" t="s">
        <v>119</v>
      </c>
      <c r="B135" s="41"/>
      <c r="C135" s="364">
        <v>0</v>
      </c>
      <c r="D135" s="41">
        <f t="shared" si="33"/>
        <v>0</v>
      </c>
      <c r="E135" s="346">
        <f t="shared" si="32"/>
        <v>0</v>
      </c>
      <c r="F135" s="189">
        <f t="shared" si="34"/>
        <v>0</v>
      </c>
      <c r="G135" s="227"/>
      <c r="H135" s="306"/>
    </row>
    <row r="136" spans="1:8" hidden="1" outlineLevel="1" x14ac:dyDescent="0.65">
      <c r="A136" s="11"/>
      <c r="B136" s="10">
        <v>0</v>
      </c>
      <c r="C136" s="364">
        <v>0</v>
      </c>
      <c r="D136" s="41">
        <f t="shared" si="33"/>
        <v>0</v>
      </c>
      <c r="E136" s="346">
        <f t="shared" si="32"/>
        <v>0</v>
      </c>
      <c r="F136" s="189">
        <f t="shared" si="34"/>
        <v>0</v>
      </c>
      <c r="G136" s="227"/>
      <c r="H136" s="306"/>
    </row>
    <row r="137" spans="1:8" hidden="1" outlineLevel="1" x14ac:dyDescent="0.65">
      <c r="A137" s="11"/>
      <c r="B137" s="10">
        <v>0</v>
      </c>
      <c r="C137" s="364">
        <v>0</v>
      </c>
      <c r="D137" s="41">
        <f t="shared" si="33"/>
        <v>0</v>
      </c>
      <c r="E137" s="346">
        <f t="shared" si="32"/>
        <v>0</v>
      </c>
      <c r="F137" s="189">
        <f t="shared" si="34"/>
        <v>0</v>
      </c>
      <c r="G137" s="227"/>
      <c r="H137" s="306"/>
    </row>
    <row r="138" spans="1:8" hidden="1" outlineLevel="1" x14ac:dyDescent="0.65">
      <c r="A138" s="11"/>
      <c r="B138" s="10">
        <v>0</v>
      </c>
      <c r="C138" s="364">
        <v>0</v>
      </c>
      <c r="D138" s="41">
        <f t="shared" si="33"/>
        <v>0</v>
      </c>
      <c r="E138" s="346">
        <f t="shared" si="32"/>
        <v>0</v>
      </c>
      <c r="F138" s="189">
        <f t="shared" si="34"/>
        <v>0</v>
      </c>
      <c r="G138" s="227"/>
      <c r="H138" s="306"/>
    </row>
    <row r="139" spans="1:8" hidden="1" outlineLevel="1" x14ac:dyDescent="0.65">
      <c r="A139" s="11"/>
      <c r="B139" s="10">
        <v>0</v>
      </c>
      <c r="C139" s="364">
        <v>0</v>
      </c>
      <c r="D139" s="41">
        <f t="shared" si="33"/>
        <v>0</v>
      </c>
      <c r="E139" s="346">
        <f t="shared" si="32"/>
        <v>0</v>
      </c>
      <c r="F139" s="189">
        <f t="shared" si="34"/>
        <v>0</v>
      </c>
      <c r="G139" s="227"/>
      <c r="H139" s="306"/>
    </row>
    <row r="140" spans="1:8" hidden="1" outlineLevel="1" x14ac:dyDescent="0.65">
      <c r="A140" s="11"/>
      <c r="B140" s="10">
        <v>0</v>
      </c>
      <c r="C140" s="364">
        <v>0</v>
      </c>
      <c r="D140" s="41">
        <f t="shared" si="33"/>
        <v>0</v>
      </c>
      <c r="E140" s="346">
        <f t="shared" si="32"/>
        <v>0</v>
      </c>
      <c r="F140" s="189">
        <f t="shared" si="34"/>
        <v>0</v>
      </c>
      <c r="G140" s="227"/>
      <c r="H140" s="306"/>
    </row>
    <row r="141" spans="1:8" hidden="1" outlineLevel="1" x14ac:dyDescent="0.65">
      <c r="A141" s="11"/>
      <c r="B141" s="10">
        <v>0</v>
      </c>
      <c r="C141" s="364">
        <v>0</v>
      </c>
      <c r="D141" s="41">
        <f t="shared" si="33"/>
        <v>0</v>
      </c>
      <c r="E141" s="346">
        <f t="shared" si="32"/>
        <v>0</v>
      </c>
      <c r="F141" s="189">
        <f t="shared" si="34"/>
        <v>0</v>
      </c>
      <c r="G141" s="227"/>
      <c r="H141" s="306"/>
    </row>
    <row r="142" spans="1:8" hidden="1" outlineLevel="1" x14ac:dyDescent="0.65">
      <c r="A142" s="11"/>
      <c r="B142" s="10">
        <v>0</v>
      </c>
      <c r="C142" s="364">
        <v>0</v>
      </c>
      <c r="D142" s="41">
        <f t="shared" si="33"/>
        <v>0</v>
      </c>
      <c r="E142" s="346">
        <f t="shared" si="32"/>
        <v>0</v>
      </c>
      <c r="F142" s="189">
        <f t="shared" si="34"/>
        <v>0</v>
      </c>
      <c r="G142" s="227"/>
      <c r="H142" s="306"/>
    </row>
    <row r="143" spans="1:8" hidden="1" outlineLevel="1" x14ac:dyDescent="0.65">
      <c r="A143" s="234"/>
      <c r="G143" s="227"/>
      <c r="H143" s="306"/>
    </row>
    <row r="144" spans="1:8" ht="63.75" customHeight="1" collapsed="1" thickBot="1" x14ac:dyDescent="0.7">
      <c r="A144" s="18" t="s">
        <v>12</v>
      </c>
      <c r="B144" s="17" t="s">
        <v>41</v>
      </c>
      <c r="C144" s="366" t="s">
        <v>147</v>
      </c>
      <c r="D144" s="85" t="s">
        <v>148</v>
      </c>
      <c r="E144" s="327" t="s">
        <v>146</v>
      </c>
    </row>
    <row r="145" spans="1:9" ht="22.5" thickBot="1" x14ac:dyDescent="0.7">
      <c r="A145" s="52">
        <f>SUM(D146:D160)</f>
        <v>0</v>
      </c>
      <c r="B145" s="21" t="s">
        <v>4</v>
      </c>
      <c r="C145" s="362" t="s">
        <v>5</v>
      </c>
      <c r="D145" s="86">
        <f>SUM(D146:D161)</f>
        <v>0</v>
      </c>
      <c r="E145" s="328">
        <f>SUM(F146:F160)</f>
        <v>0</v>
      </c>
      <c r="F145" s="655" t="s">
        <v>54</v>
      </c>
      <c r="G145" s="656"/>
      <c r="H145" s="656"/>
    </row>
    <row r="146" spans="1:9" s="171" customFormat="1" x14ac:dyDescent="0.35">
      <c r="A146" s="200" t="s">
        <v>73</v>
      </c>
      <c r="B146" s="198">
        <v>15000</v>
      </c>
      <c r="C146" s="391"/>
      <c r="D146" s="198">
        <f t="shared" ref="D146:D153" si="35">B146*C146</f>
        <v>0</v>
      </c>
      <c r="E146" s="347">
        <f>C146</f>
        <v>0</v>
      </c>
      <c r="F146" s="199">
        <f t="shared" ref="F146:F156" si="36">D146</f>
        <v>0</v>
      </c>
      <c r="G146" s="228"/>
      <c r="H146" s="287"/>
      <c r="I146"/>
    </row>
    <row r="147" spans="1:9" s="171" customFormat="1" x14ac:dyDescent="0.35">
      <c r="A147" s="197" t="s">
        <v>74</v>
      </c>
      <c r="B147" s="201">
        <v>8000</v>
      </c>
      <c r="C147" s="391"/>
      <c r="D147" s="198">
        <f t="shared" si="35"/>
        <v>0</v>
      </c>
      <c r="E147" s="347">
        <f t="shared" ref="E147:E156" si="37">C147</f>
        <v>0</v>
      </c>
      <c r="F147" s="199">
        <f t="shared" si="36"/>
        <v>0</v>
      </c>
      <c r="G147" s="229"/>
      <c r="H147" s="287"/>
      <c r="I147"/>
    </row>
    <row r="148" spans="1:9" s="171" customFormat="1" x14ac:dyDescent="0.35">
      <c r="A148" s="197" t="s">
        <v>40</v>
      </c>
      <c r="B148" s="201">
        <v>15000</v>
      </c>
      <c r="C148" s="391"/>
      <c r="D148" s="198">
        <f t="shared" si="35"/>
        <v>0</v>
      </c>
      <c r="E148" s="347">
        <f t="shared" si="37"/>
        <v>0</v>
      </c>
      <c r="F148" s="199">
        <f t="shared" si="36"/>
        <v>0</v>
      </c>
      <c r="G148" s="229"/>
      <c r="H148" s="287"/>
      <c r="I148"/>
    </row>
    <row r="149" spans="1:9" s="171" customFormat="1" x14ac:dyDescent="0.35">
      <c r="A149" s="197" t="s">
        <v>75</v>
      </c>
      <c r="B149" s="201">
        <v>85000</v>
      </c>
      <c r="C149" s="391"/>
      <c r="D149" s="198">
        <f t="shared" si="35"/>
        <v>0</v>
      </c>
      <c r="E149" s="347">
        <f t="shared" si="37"/>
        <v>0</v>
      </c>
      <c r="F149" s="199">
        <f t="shared" si="36"/>
        <v>0</v>
      </c>
      <c r="G149" s="229"/>
      <c r="H149" s="287"/>
      <c r="I149"/>
    </row>
    <row r="150" spans="1:9" s="171" customFormat="1" x14ac:dyDescent="0.35">
      <c r="A150" s="197" t="s">
        <v>210</v>
      </c>
      <c r="B150" s="201">
        <v>40000</v>
      </c>
      <c r="C150" s="391"/>
      <c r="D150" s="198">
        <f t="shared" si="35"/>
        <v>0</v>
      </c>
      <c r="E150" s="347">
        <f t="shared" si="37"/>
        <v>0</v>
      </c>
      <c r="F150" s="199">
        <f t="shared" si="36"/>
        <v>0</v>
      </c>
      <c r="G150" s="229"/>
      <c r="H150" s="287"/>
      <c r="I150"/>
    </row>
    <row r="151" spans="1:9" s="171" customFormat="1" x14ac:dyDescent="0.35">
      <c r="A151" s="197" t="s">
        <v>70</v>
      </c>
      <c r="B151" s="201">
        <v>2200</v>
      </c>
      <c r="C151" s="391"/>
      <c r="D151" s="198">
        <f t="shared" si="35"/>
        <v>0</v>
      </c>
      <c r="E151" s="347">
        <f t="shared" si="37"/>
        <v>0</v>
      </c>
      <c r="F151" s="199">
        <f t="shared" si="36"/>
        <v>0</v>
      </c>
      <c r="G151" s="229"/>
      <c r="H151" s="287"/>
      <c r="I151"/>
    </row>
    <row r="152" spans="1:9" s="171" customFormat="1" x14ac:dyDescent="0.35">
      <c r="A152" s="197" t="s">
        <v>43</v>
      </c>
      <c r="B152" s="201">
        <v>1800</v>
      </c>
      <c r="C152" s="391"/>
      <c r="D152" s="198">
        <f t="shared" si="35"/>
        <v>0</v>
      </c>
      <c r="E152" s="347">
        <f t="shared" si="37"/>
        <v>0</v>
      </c>
      <c r="F152" s="199">
        <f t="shared" si="36"/>
        <v>0</v>
      </c>
      <c r="G152" s="229"/>
      <c r="H152" s="287"/>
      <c r="I152"/>
    </row>
    <row r="153" spans="1:9" s="171" customFormat="1" x14ac:dyDescent="0.35">
      <c r="A153" s="202" t="s">
        <v>69</v>
      </c>
      <c r="B153" s="201">
        <v>15000</v>
      </c>
      <c r="C153" s="391"/>
      <c r="D153" s="198">
        <f t="shared" si="35"/>
        <v>0</v>
      </c>
      <c r="E153" s="347">
        <f t="shared" si="37"/>
        <v>0</v>
      </c>
      <c r="F153" s="199">
        <f t="shared" si="36"/>
        <v>0</v>
      </c>
      <c r="G153" s="229"/>
      <c r="H153" s="287"/>
      <c r="I153"/>
    </row>
    <row r="154" spans="1:9" s="171" customFormat="1" x14ac:dyDescent="0.35">
      <c r="A154" s="197" t="s">
        <v>109</v>
      </c>
      <c r="B154" s="201">
        <v>50000</v>
      </c>
      <c r="C154" s="391"/>
      <c r="D154" s="198">
        <f t="shared" ref="D154:D161" si="38">B154*C154</f>
        <v>0</v>
      </c>
      <c r="E154" s="347">
        <f t="shared" si="37"/>
        <v>0</v>
      </c>
      <c r="F154" s="199">
        <f t="shared" si="36"/>
        <v>0</v>
      </c>
      <c r="G154" s="229"/>
      <c r="H154" s="287"/>
      <c r="I154"/>
    </row>
    <row r="155" spans="1:9" s="171" customFormat="1" x14ac:dyDescent="0.35">
      <c r="A155" s="197" t="s">
        <v>51</v>
      </c>
      <c r="B155" s="201">
        <v>2200</v>
      </c>
      <c r="C155" s="391"/>
      <c r="D155" s="198">
        <f t="shared" si="38"/>
        <v>0</v>
      </c>
      <c r="E155" s="347">
        <f t="shared" si="37"/>
        <v>0</v>
      </c>
      <c r="F155" s="199">
        <f t="shared" si="36"/>
        <v>0</v>
      </c>
      <c r="G155" s="229"/>
      <c r="H155" s="287"/>
      <c r="I155"/>
    </row>
    <row r="156" spans="1:9" s="171" customFormat="1" x14ac:dyDescent="0.35">
      <c r="A156" s="197" t="s">
        <v>76</v>
      </c>
      <c r="B156" s="201">
        <v>20000</v>
      </c>
      <c r="C156" s="391"/>
      <c r="D156" s="198">
        <f t="shared" si="38"/>
        <v>0</v>
      </c>
      <c r="E156" s="347">
        <f t="shared" si="37"/>
        <v>0</v>
      </c>
      <c r="F156" s="199">
        <f t="shared" si="36"/>
        <v>0</v>
      </c>
      <c r="G156" s="229"/>
      <c r="H156" s="287"/>
      <c r="I156"/>
    </row>
    <row r="157" spans="1:9" x14ac:dyDescent="0.35">
      <c r="A157" s="197" t="s">
        <v>206</v>
      </c>
      <c r="B157" s="201">
        <v>35000</v>
      </c>
      <c r="C157" s="391"/>
      <c r="D157" s="198">
        <f t="shared" si="38"/>
        <v>0</v>
      </c>
      <c r="E157" s="347">
        <f t="shared" ref="E157:F161" si="39">C157</f>
        <v>0</v>
      </c>
      <c r="F157" s="199">
        <f t="shared" si="39"/>
        <v>0</v>
      </c>
      <c r="G157" s="229"/>
    </row>
    <row r="158" spans="1:9" x14ac:dyDescent="0.35">
      <c r="A158" s="197" t="s">
        <v>207</v>
      </c>
      <c r="B158" s="201">
        <v>20000</v>
      </c>
      <c r="C158" s="391"/>
      <c r="D158" s="198">
        <f t="shared" si="38"/>
        <v>0</v>
      </c>
      <c r="E158" s="347">
        <f t="shared" si="39"/>
        <v>0</v>
      </c>
      <c r="F158" s="199">
        <f t="shared" si="39"/>
        <v>0</v>
      </c>
      <c r="G158" s="229"/>
    </row>
    <row r="159" spans="1:9" hidden="1" outlineLevel="1" x14ac:dyDescent="0.35">
      <c r="A159" s="197"/>
      <c r="B159" s="201"/>
      <c r="C159" s="391"/>
      <c r="D159" s="198">
        <f t="shared" si="38"/>
        <v>0</v>
      </c>
      <c r="E159" s="347">
        <f t="shared" si="39"/>
        <v>0</v>
      </c>
      <c r="F159" s="199">
        <f t="shared" si="39"/>
        <v>0</v>
      </c>
      <c r="G159" s="229"/>
    </row>
    <row r="160" spans="1:9" hidden="1" outlineLevel="1" x14ac:dyDescent="0.35">
      <c r="A160" s="197"/>
      <c r="B160" s="201"/>
      <c r="C160" s="391"/>
      <c r="D160" s="198">
        <f t="shared" si="38"/>
        <v>0</v>
      </c>
      <c r="E160" s="347">
        <f t="shared" si="39"/>
        <v>0</v>
      </c>
      <c r="F160" s="199">
        <f t="shared" si="39"/>
        <v>0</v>
      </c>
      <c r="G160" s="229"/>
    </row>
    <row r="161" spans="1:8" hidden="1" outlineLevel="1" x14ac:dyDescent="0.35">
      <c r="A161" s="197"/>
      <c r="B161" s="201"/>
      <c r="C161" s="391"/>
      <c r="D161" s="198">
        <f t="shared" si="38"/>
        <v>0</v>
      </c>
      <c r="E161" s="347">
        <f t="shared" si="39"/>
        <v>0</v>
      </c>
      <c r="F161" s="199">
        <f t="shared" si="39"/>
        <v>0</v>
      </c>
      <c r="G161" s="229"/>
    </row>
    <row r="162" spans="1:8" ht="63.75" customHeight="1" collapsed="1" thickBot="1" x14ac:dyDescent="0.7">
      <c r="A162" s="67" t="s">
        <v>23</v>
      </c>
      <c r="B162" s="68" t="s">
        <v>29</v>
      </c>
      <c r="C162" s="366" t="s">
        <v>147</v>
      </c>
      <c r="D162" s="85" t="s">
        <v>148</v>
      </c>
      <c r="E162" s="327" t="s">
        <v>146</v>
      </c>
      <c r="F162" s="191"/>
      <c r="G162" s="231"/>
    </row>
    <row r="163" spans="1:8" ht="22.5" thickBot="1" x14ac:dyDescent="0.4">
      <c r="A163" s="70">
        <f>SUM(D164:D167)</f>
        <v>0</v>
      </c>
      <c r="B163" s="61" t="s">
        <v>4</v>
      </c>
      <c r="C163" s="392" t="s">
        <v>5</v>
      </c>
      <c r="D163" s="86">
        <f>SUM(D164:D168)</f>
        <v>0</v>
      </c>
      <c r="E163" s="328">
        <f>SUM(F164:F167)</f>
        <v>0</v>
      </c>
      <c r="F163" s="653" t="s">
        <v>54</v>
      </c>
      <c r="G163" s="654"/>
      <c r="H163" s="654"/>
    </row>
    <row r="164" spans="1:8" ht="22.5" hidden="1" outlineLevel="1" thickBot="1" x14ac:dyDescent="0.4">
      <c r="A164" s="45" t="s">
        <v>37</v>
      </c>
      <c r="B164" s="46">
        <v>10000</v>
      </c>
      <c r="C164" s="393"/>
      <c r="D164" s="71">
        <f>B164*C164</f>
        <v>0</v>
      </c>
      <c r="E164" s="348">
        <f>C164</f>
        <v>0</v>
      </c>
      <c r="F164" s="190"/>
      <c r="G164" s="232"/>
      <c r="H164" s="306">
        <f>E164*B164</f>
        <v>0</v>
      </c>
    </row>
    <row r="165" spans="1:8" ht="22.5" hidden="1" outlineLevel="1" thickBot="1" x14ac:dyDescent="0.4">
      <c r="A165" s="43" t="s">
        <v>65</v>
      </c>
      <c r="B165" s="41">
        <v>10000</v>
      </c>
      <c r="C165" s="390"/>
      <c r="D165" s="71">
        <f>B165*C165</f>
        <v>0</v>
      </c>
      <c r="E165" s="333"/>
      <c r="F165" s="190"/>
      <c r="G165" s="229"/>
      <c r="H165" s="306">
        <f>E165*B165</f>
        <v>0</v>
      </c>
    </row>
    <row r="166" spans="1:8" ht="22.5" hidden="1" outlineLevel="1" thickBot="1" x14ac:dyDescent="0.4">
      <c r="A166" s="43"/>
      <c r="B166" s="41">
        <v>0</v>
      </c>
      <c r="C166" s="390"/>
      <c r="D166" s="72">
        <f>B166*C166</f>
        <v>0</v>
      </c>
      <c r="E166" s="333"/>
      <c r="F166" s="190"/>
      <c r="G166" s="229"/>
      <c r="H166" s="306">
        <f>E166*B166</f>
        <v>0</v>
      </c>
    </row>
    <row r="167" spans="1:8" hidden="1" outlineLevel="1" x14ac:dyDescent="0.35">
      <c r="A167" s="43"/>
      <c r="B167" s="41">
        <v>0</v>
      </c>
      <c r="C167" s="394"/>
      <c r="D167" s="196">
        <f>B167*C167</f>
        <v>0</v>
      </c>
      <c r="E167" s="333"/>
      <c r="F167" s="190"/>
      <c r="G167" s="229"/>
      <c r="H167" s="306">
        <f>E167*B167</f>
        <v>0</v>
      </c>
    </row>
    <row r="168" spans="1:8" collapsed="1" x14ac:dyDescent="0.65">
      <c r="A168" s="43" t="s">
        <v>65</v>
      </c>
      <c r="B168" s="41">
        <v>10000</v>
      </c>
      <c r="C168" s="383"/>
      <c r="D168" s="41">
        <f>B168*C168</f>
        <v>0</v>
      </c>
      <c r="E168" s="349">
        <f>C168</f>
        <v>0</v>
      </c>
      <c r="G168" s="229"/>
      <c r="H168" s="306">
        <f>E168*B168</f>
        <v>0</v>
      </c>
    </row>
    <row r="169" spans="1:8" ht="63.75" customHeight="1" thickBot="1" x14ac:dyDescent="0.7">
      <c r="A169" s="18" t="s">
        <v>24</v>
      </c>
      <c r="B169" s="17" t="s">
        <v>29</v>
      </c>
      <c r="C169" s="366" t="s">
        <v>147</v>
      </c>
      <c r="D169" s="85" t="s">
        <v>148</v>
      </c>
      <c r="E169" s="327" t="s">
        <v>146</v>
      </c>
    </row>
    <row r="170" spans="1:8" ht="22.5" thickBot="1" x14ac:dyDescent="0.7">
      <c r="A170" s="52">
        <f>SUM(D171:D185)</f>
        <v>0</v>
      </c>
      <c r="B170" s="21" t="s">
        <v>4</v>
      </c>
      <c r="C170" s="362" t="s">
        <v>5</v>
      </c>
      <c r="D170" s="86">
        <f>SUM(D171:D185)</f>
        <v>0</v>
      </c>
      <c r="E170" s="328">
        <f>SUM(F171:F185)</f>
        <v>0</v>
      </c>
      <c r="F170" s="655" t="s">
        <v>54</v>
      </c>
      <c r="G170" s="656"/>
      <c r="H170" s="656"/>
    </row>
    <row r="171" spans="1:8" ht="22.5" thickBot="1" x14ac:dyDescent="0.7">
      <c r="A171" s="13" t="s">
        <v>208</v>
      </c>
      <c r="B171" s="12">
        <v>40000</v>
      </c>
      <c r="C171" s="383"/>
      <c r="D171" s="71">
        <f>B171*C171</f>
        <v>0</v>
      </c>
      <c r="E171" s="349">
        <f>C171</f>
        <v>0</v>
      </c>
      <c r="F171" s="190"/>
      <c r="G171" s="228"/>
      <c r="H171" s="306">
        <f>E171*B171</f>
        <v>0</v>
      </c>
    </row>
    <row r="172" spans="1:8" ht="22.5" hidden="1" outlineLevel="1" thickBot="1" x14ac:dyDescent="0.7">
      <c r="A172" s="11"/>
      <c r="B172" s="10"/>
      <c r="C172" s="318"/>
      <c r="D172" s="71"/>
      <c r="E172" s="349"/>
      <c r="F172" s="190"/>
      <c r="G172" s="227"/>
      <c r="H172" s="306">
        <f>E172*B172</f>
        <v>0</v>
      </c>
    </row>
    <row r="173" spans="1:8" hidden="1" outlineLevel="1" x14ac:dyDescent="0.65">
      <c r="A173" s="11"/>
      <c r="B173" s="10"/>
      <c r="C173" s="318"/>
      <c r="D173" s="12"/>
      <c r="F173" s="189"/>
      <c r="G173" s="227"/>
    </row>
    <row r="174" spans="1:8" hidden="1" outlineLevel="1" x14ac:dyDescent="0.65">
      <c r="A174" s="11"/>
      <c r="B174" s="10"/>
      <c r="C174" s="318"/>
      <c r="D174" s="10"/>
      <c r="F174" s="189"/>
      <c r="G174" s="227"/>
    </row>
    <row r="175" spans="1:8" hidden="1" outlineLevel="1" x14ac:dyDescent="0.65">
      <c r="A175" s="11"/>
      <c r="B175" s="10">
        <v>0</v>
      </c>
      <c r="C175" s="364">
        <v>0</v>
      </c>
      <c r="D175" s="10">
        <f t="shared" ref="D175:D185" si="40">B175*C175</f>
        <v>0</v>
      </c>
      <c r="F175" s="189">
        <f t="shared" ref="F175:F185" si="41">D175</f>
        <v>0</v>
      </c>
      <c r="G175" s="227"/>
    </row>
    <row r="176" spans="1:8" hidden="1" outlineLevel="1" x14ac:dyDescent="0.65">
      <c r="A176" s="11"/>
      <c r="B176" s="10">
        <v>0</v>
      </c>
      <c r="C176" s="364">
        <v>0</v>
      </c>
      <c r="D176" s="10">
        <f t="shared" si="40"/>
        <v>0</v>
      </c>
      <c r="F176" s="189">
        <f t="shared" si="41"/>
        <v>0</v>
      </c>
      <c r="G176" s="227"/>
    </row>
    <row r="177" spans="1:8" hidden="1" outlineLevel="1" x14ac:dyDescent="0.65">
      <c r="A177" s="11"/>
      <c r="B177" s="10">
        <v>0</v>
      </c>
      <c r="C177" s="364">
        <v>0</v>
      </c>
      <c r="D177" s="10">
        <f t="shared" si="40"/>
        <v>0</v>
      </c>
      <c r="F177" s="189">
        <f t="shared" si="41"/>
        <v>0</v>
      </c>
      <c r="G177" s="227"/>
    </row>
    <row r="178" spans="1:8" hidden="1" outlineLevel="1" x14ac:dyDescent="0.65">
      <c r="A178" s="11"/>
      <c r="B178" s="10">
        <v>0</v>
      </c>
      <c r="C178" s="364">
        <v>0</v>
      </c>
      <c r="D178" s="10">
        <f t="shared" si="40"/>
        <v>0</v>
      </c>
      <c r="F178" s="189">
        <f t="shared" si="41"/>
        <v>0</v>
      </c>
      <c r="G178" s="227"/>
    </row>
    <row r="179" spans="1:8" hidden="1" outlineLevel="1" x14ac:dyDescent="0.65">
      <c r="A179" s="11"/>
      <c r="B179" s="10">
        <v>0</v>
      </c>
      <c r="C179" s="364">
        <v>0</v>
      </c>
      <c r="D179" s="10">
        <f t="shared" si="40"/>
        <v>0</v>
      </c>
      <c r="F179" s="189">
        <f t="shared" si="41"/>
        <v>0</v>
      </c>
      <c r="G179" s="227"/>
    </row>
    <row r="180" spans="1:8" hidden="1" outlineLevel="1" x14ac:dyDescent="0.65">
      <c r="A180" s="11"/>
      <c r="B180" s="10">
        <v>0</v>
      </c>
      <c r="C180" s="364">
        <v>0</v>
      </c>
      <c r="D180" s="10">
        <f t="shared" si="40"/>
        <v>0</v>
      </c>
      <c r="F180" s="189">
        <f t="shared" si="41"/>
        <v>0</v>
      </c>
      <c r="G180" s="227"/>
    </row>
    <row r="181" spans="1:8" hidden="1" outlineLevel="1" x14ac:dyDescent="0.65">
      <c r="A181" s="11"/>
      <c r="B181" s="10">
        <v>0</v>
      </c>
      <c r="C181" s="364">
        <v>0</v>
      </c>
      <c r="D181" s="10">
        <f t="shared" si="40"/>
        <v>0</v>
      </c>
      <c r="F181" s="189">
        <f t="shared" si="41"/>
        <v>0</v>
      </c>
      <c r="G181" s="227"/>
    </row>
    <row r="182" spans="1:8" hidden="1" outlineLevel="1" x14ac:dyDescent="0.65">
      <c r="A182" s="11"/>
      <c r="B182" s="10">
        <v>0</v>
      </c>
      <c r="C182" s="364">
        <v>0</v>
      </c>
      <c r="D182" s="10">
        <f t="shared" si="40"/>
        <v>0</v>
      </c>
      <c r="F182" s="189">
        <f t="shared" si="41"/>
        <v>0</v>
      </c>
      <c r="G182" s="227"/>
    </row>
    <row r="183" spans="1:8" hidden="1" outlineLevel="1" x14ac:dyDescent="0.65">
      <c r="A183" s="11"/>
      <c r="B183" s="10">
        <v>0</v>
      </c>
      <c r="C183" s="364">
        <v>0</v>
      </c>
      <c r="D183" s="10">
        <f t="shared" si="40"/>
        <v>0</v>
      </c>
      <c r="F183" s="189">
        <f t="shared" si="41"/>
        <v>0</v>
      </c>
      <c r="G183" s="227"/>
    </row>
    <row r="184" spans="1:8" hidden="1" outlineLevel="1" x14ac:dyDescent="0.65">
      <c r="A184" s="11"/>
      <c r="B184" s="10">
        <v>0</v>
      </c>
      <c r="C184" s="364">
        <v>0</v>
      </c>
      <c r="D184" s="10">
        <f t="shared" si="40"/>
        <v>0</v>
      </c>
      <c r="F184" s="189">
        <f t="shared" si="41"/>
        <v>0</v>
      </c>
      <c r="G184" s="227"/>
    </row>
    <row r="185" spans="1:8" hidden="1" outlineLevel="1" x14ac:dyDescent="0.65">
      <c r="A185" s="11"/>
      <c r="B185" s="10">
        <v>0</v>
      </c>
      <c r="C185" s="364">
        <v>0</v>
      </c>
      <c r="D185" s="10">
        <f t="shared" si="40"/>
        <v>0</v>
      </c>
      <c r="F185" s="189">
        <f t="shared" si="41"/>
        <v>0</v>
      </c>
      <c r="G185" s="227"/>
    </row>
    <row r="186" spans="1:8" hidden="1" outlineLevel="1" x14ac:dyDescent="0.65"/>
    <row r="187" spans="1:8" ht="63.75" customHeight="1" collapsed="1" thickBot="1" x14ac:dyDescent="0.7">
      <c r="A187" s="18" t="s">
        <v>26</v>
      </c>
      <c r="B187" s="17" t="s">
        <v>29</v>
      </c>
      <c r="C187" s="366" t="s">
        <v>147</v>
      </c>
      <c r="D187" s="85" t="s">
        <v>148</v>
      </c>
      <c r="E187" s="327" t="s">
        <v>146</v>
      </c>
    </row>
    <row r="188" spans="1:8" ht="22.5" thickBot="1" x14ac:dyDescent="0.7">
      <c r="A188" s="52">
        <f>SUM(D189:D203)</f>
        <v>24000</v>
      </c>
      <c r="B188" s="21" t="s">
        <v>4</v>
      </c>
      <c r="C188" s="362" t="s">
        <v>5</v>
      </c>
      <c r="D188" s="86">
        <f>SUM(D189:D190)</f>
        <v>24000</v>
      </c>
      <c r="E188" s="328">
        <f>SUM(F189:F203)</f>
        <v>0</v>
      </c>
      <c r="F188" s="655" t="s">
        <v>54</v>
      </c>
      <c r="G188" s="656"/>
      <c r="H188" s="656"/>
    </row>
    <row r="189" spans="1:8" x14ac:dyDescent="0.65">
      <c r="A189" s="13" t="s">
        <v>26</v>
      </c>
      <c r="B189" s="12">
        <v>16000</v>
      </c>
      <c r="C189" s="395"/>
      <c r="D189" s="12">
        <f>B189*C189</f>
        <v>0</v>
      </c>
      <c r="E189" s="350"/>
      <c r="G189" s="227"/>
      <c r="H189" s="306">
        <f>E189*B189</f>
        <v>0</v>
      </c>
    </row>
    <row r="190" spans="1:8" x14ac:dyDescent="0.65">
      <c r="A190" s="11" t="s">
        <v>100</v>
      </c>
      <c r="B190" s="10">
        <v>240</v>
      </c>
      <c r="C190" s="396">
        <v>100</v>
      </c>
      <c r="D190" s="10">
        <f t="shared" ref="D190:D203" si="42">B190*C190</f>
        <v>24000</v>
      </c>
      <c r="E190" s="351"/>
      <c r="G190" s="227"/>
      <c r="H190" s="306">
        <f>E190*B190</f>
        <v>0</v>
      </c>
    </row>
    <row r="191" spans="1:8" hidden="1" outlineLevel="1" x14ac:dyDescent="0.65">
      <c r="A191" s="11"/>
      <c r="B191" s="10"/>
      <c r="C191" s="364"/>
      <c r="D191" s="10">
        <f t="shared" si="42"/>
        <v>0</v>
      </c>
      <c r="F191" s="189">
        <f t="shared" ref="F191:F203" si="43">D191</f>
        <v>0</v>
      </c>
      <c r="G191" s="227"/>
    </row>
    <row r="192" spans="1:8" hidden="1" outlineLevel="1" x14ac:dyDescent="0.65">
      <c r="A192" s="11"/>
      <c r="B192" s="10">
        <v>0</v>
      </c>
      <c r="C192" s="364"/>
      <c r="D192" s="10">
        <f t="shared" si="42"/>
        <v>0</v>
      </c>
      <c r="F192" s="189">
        <f t="shared" si="43"/>
        <v>0</v>
      </c>
      <c r="G192" s="227"/>
    </row>
    <row r="193" spans="1:8" hidden="1" outlineLevel="1" x14ac:dyDescent="0.65">
      <c r="A193" s="11"/>
      <c r="B193" s="10">
        <v>0</v>
      </c>
      <c r="C193" s="364"/>
      <c r="D193" s="10">
        <f t="shared" si="42"/>
        <v>0</v>
      </c>
      <c r="F193" s="189">
        <f t="shared" si="43"/>
        <v>0</v>
      </c>
      <c r="G193" s="227"/>
    </row>
    <row r="194" spans="1:8" hidden="1" outlineLevel="1" x14ac:dyDescent="0.65">
      <c r="A194" s="11"/>
      <c r="B194" s="10">
        <v>0</v>
      </c>
      <c r="C194" s="364"/>
      <c r="D194" s="10">
        <f t="shared" si="42"/>
        <v>0</v>
      </c>
      <c r="F194" s="189">
        <f t="shared" si="43"/>
        <v>0</v>
      </c>
      <c r="G194" s="227"/>
    </row>
    <row r="195" spans="1:8" hidden="1" outlineLevel="1" x14ac:dyDescent="0.65">
      <c r="A195" s="11"/>
      <c r="B195" s="10">
        <v>0</v>
      </c>
      <c r="C195" s="364"/>
      <c r="D195" s="10">
        <f t="shared" si="42"/>
        <v>0</v>
      </c>
      <c r="F195" s="189">
        <f t="shared" si="43"/>
        <v>0</v>
      </c>
      <c r="G195" s="227"/>
    </row>
    <row r="196" spans="1:8" hidden="1" outlineLevel="1" x14ac:dyDescent="0.65">
      <c r="A196" s="11"/>
      <c r="B196" s="10">
        <v>0</v>
      </c>
      <c r="C196" s="364"/>
      <c r="D196" s="10">
        <f t="shared" si="42"/>
        <v>0</v>
      </c>
      <c r="F196" s="189">
        <f t="shared" si="43"/>
        <v>0</v>
      </c>
      <c r="G196" s="227"/>
    </row>
    <row r="197" spans="1:8" hidden="1" outlineLevel="1" x14ac:dyDescent="0.65">
      <c r="A197" s="11"/>
      <c r="B197" s="10">
        <v>0</v>
      </c>
      <c r="C197" s="364"/>
      <c r="D197" s="10">
        <f t="shared" si="42"/>
        <v>0</v>
      </c>
      <c r="F197" s="189">
        <f t="shared" si="43"/>
        <v>0</v>
      </c>
      <c r="G197" s="227"/>
    </row>
    <row r="198" spans="1:8" hidden="1" outlineLevel="1" x14ac:dyDescent="0.65">
      <c r="A198" s="11"/>
      <c r="B198" s="10">
        <v>0</v>
      </c>
      <c r="C198" s="364"/>
      <c r="D198" s="10">
        <f t="shared" si="42"/>
        <v>0</v>
      </c>
      <c r="F198" s="189">
        <f t="shared" si="43"/>
        <v>0</v>
      </c>
      <c r="G198" s="227"/>
    </row>
    <row r="199" spans="1:8" hidden="1" outlineLevel="1" x14ac:dyDescent="0.65">
      <c r="A199" s="11"/>
      <c r="B199" s="10">
        <v>0</v>
      </c>
      <c r="C199" s="364"/>
      <c r="D199" s="10">
        <f t="shared" si="42"/>
        <v>0</v>
      </c>
      <c r="F199" s="189">
        <f t="shared" si="43"/>
        <v>0</v>
      </c>
      <c r="G199" s="227"/>
    </row>
    <row r="200" spans="1:8" hidden="1" outlineLevel="1" x14ac:dyDescent="0.65">
      <c r="A200" s="11"/>
      <c r="B200" s="10">
        <v>0</v>
      </c>
      <c r="C200" s="364"/>
      <c r="D200" s="10">
        <f t="shared" si="42"/>
        <v>0</v>
      </c>
      <c r="F200" s="189">
        <f t="shared" si="43"/>
        <v>0</v>
      </c>
      <c r="G200" s="227"/>
    </row>
    <row r="201" spans="1:8" hidden="1" outlineLevel="1" x14ac:dyDescent="0.65">
      <c r="A201" s="11"/>
      <c r="B201" s="10">
        <v>0</v>
      </c>
      <c r="C201" s="364"/>
      <c r="D201" s="10">
        <f t="shared" si="42"/>
        <v>0</v>
      </c>
      <c r="F201" s="189">
        <f t="shared" si="43"/>
        <v>0</v>
      </c>
      <c r="G201" s="227"/>
    </row>
    <row r="202" spans="1:8" hidden="1" outlineLevel="1" x14ac:dyDescent="0.65">
      <c r="A202" s="11"/>
      <c r="B202" s="10">
        <v>0</v>
      </c>
      <c r="C202" s="364"/>
      <c r="D202" s="10">
        <f t="shared" si="42"/>
        <v>0</v>
      </c>
      <c r="F202" s="189">
        <f t="shared" si="43"/>
        <v>0</v>
      </c>
      <c r="G202" s="227"/>
    </row>
    <row r="203" spans="1:8" hidden="1" outlineLevel="1" x14ac:dyDescent="0.65">
      <c r="A203" s="11"/>
      <c r="B203" s="10">
        <v>0</v>
      </c>
      <c r="C203" s="364"/>
      <c r="D203" s="10">
        <f t="shared" si="42"/>
        <v>0</v>
      </c>
      <c r="F203" s="189">
        <f t="shared" si="43"/>
        <v>0</v>
      </c>
      <c r="G203" s="227"/>
    </row>
    <row r="204" spans="1:8" ht="63.75" customHeight="1" collapsed="1" thickBot="1" x14ac:dyDescent="0.7">
      <c r="A204" s="18" t="s">
        <v>27</v>
      </c>
      <c r="B204" s="17" t="s">
        <v>29</v>
      </c>
      <c r="C204" s="366" t="s">
        <v>147</v>
      </c>
      <c r="D204" s="85" t="s">
        <v>148</v>
      </c>
      <c r="E204" s="327" t="s">
        <v>146</v>
      </c>
    </row>
    <row r="205" spans="1:8" ht="22.5" thickBot="1" x14ac:dyDescent="0.7">
      <c r="A205" s="52">
        <f>SUM(D206:D207)</f>
        <v>7200</v>
      </c>
      <c r="B205" s="21" t="s">
        <v>4</v>
      </c>
      <c r="C205" s="362" t="s">
        <v>5</v>
      </c>
      <c r="D205" s="86">
        <f>SUM(D206:D206)</f>
        <v>5200</v>
      </c>
      <c r="E205" s="328">
        <f>SUM(F206:F216)</f>
        <v>86700</v>
      </c>
      <c r="F205" s="655" t="s">
        <v>54</v>
      </c>
      <c r="G205" s="656"/>
      <c r="H205" s="656"/>
    </row>
    <row r="206" spans="1:8" x14ac:dyDescent="0.65">
      <c r="A206" s="465" t="s">
        <v>344</v>
      </c>
      <c r="B206" s="12">
        <v>1300</v>
      </c>
      <c r="C206" s="367">
        <v>4</v>
      </c>
      <c r="D206" s="12">
        <f>B206*C206</f>
        <v>5200</v>
      </c>
      <c r="E206" s="467">
        <f>C206</f>
        <v>4</v>
      </c>
      <c r="F206" s="469">
        <f t="shared" ref="F206:F215" si="44">E206*B206</f>
        <v>5200</v>
      </c>
      <c r="G206" s="227"/>
    </row>
    <row r="207" spans="1:8" x14ac:dyDescent="0.65">
      <c r="A207" s="11" t="s">
        <v>370</v>
      </c>
      <c r="B207" s="473">
        <v>2000</v>
      </c>
      <c r="C207" s="318">
        <v>1</v>
      </c>
      <c r="D207" s="10">
        <f>B207*C207</f>
        <v>2000</v>
      </c>
      <c r="E207" s="576">
        <v>3</v>
      </c>
      <c r="F207" s="469">
        <f t="shared" si="44"/>
        <v>6000</v>
      </c>
      <c r="G207" s="227"/>
    </row>
    <row r="208" spans="1:8" x14ac:dyDescent="0.65">
      <c r="A208" s="11" t="s">
        <v>274</v>
      </c>
      <c r="B208" s="10">
        <v>2500</v>
      </c>
      <c r="C208" s="474">
        <v>5</v>
      </c>
      <c r="D208" s="10"/>
      <c r="E208" s="475">
        <f>C208</f>
        <v>5</v>
      </c>
      <c r="F208" s="469">
        <f t="shared" si="44"/>
        <v>12500</v>
      </c>
      <c r="G208" s="227"/>
    </row>
    <row r="209" spans="1:15" x14ac:dyDescent="0.65">
      <c r="A209" s="11" t="s">
        <v>373</v>
      </c>
      <c r="B209" s="10">
        <v>9000</v>
      </c>
      <c r="C209" s="367"/>
      <c r="D209" s="10"/>
      <c r="E209" s="576">
        <v>1</v>
      </c>
      <c r="F209" s="582">
        <f t="shared" si="44"/>
        <v>9000</v>
      </c>
      <c r="G209" s="227"/>
    </row>
    <row r="210" spans="1:15" x14ac:dyDescent="0.65">
      <c r="A210" s="609" t="s">
        <v>377</v>
      </c>
      <c r="B210" s="10">
        <v>11000</v>
      </c>
      <c r="C210" s="367"/>
      <c r="D210" s="10"/>
      <c r="E210" s="607">
        <v>2</v>
      </c>
      <c r="F210" s="608">
        <f t="shared" si="44"/>
        <v>22000</v>
      </c>
      <c r="G210" s="227"/>
      <c r="H210" s="611"/>
    </row>
    <row r="211" spans="1:15" x14ac:dyDescent="0.65">
      <c r="A211" s="628" t="s">
        <v>384</v>
      </c>
      <c r="B211" s="10">
        <v>6000</v>
      </c>
      <c r="C211" s="367"/>
      <c r="D211" s="10"/>
      <c r="E211" s="629">
        <v>1</v>
      </c>
      <c r="F211" s="630">
        <f t="shared" si="44"/>
        <v>6000</v>
      </c>
      <c r="G211" s="631"/>
      <c r="H211" s="632"/>
    </row>
    <row r="212" spans="1:15" x14ac:dyDescent="0.65">
      <c r="A212" s="628" t="s">
        <v>385</v>
      </c>
      <c r="B212" s="10">
        <v>3000</v>
      </c>
      <c r="C212" s="367"/>
      <c r="D212" s="10"/>
      <c r="E212" s="629">
        <v>3</v>
      </c>
      <c r="F212" s="630">
        <f t="shared" si="44"/>
        <v>9000</v>
      </c>
      <c r="G212" s="631"/>
      <c r="H212" s="632"/>
    </row>
    <row r="213" spans="1:15" ht="21" customHeight="1" x14ac:dyDescent="0.65">
      <c r="A213" s="628" t="s">
        <v>386</v>
      </c>
      <c r="B213" s="10">
        <v>3000</v>
      </c>
      <c r="C213" s="367"/>
      <c r="D213" s="10"/>
      <c r="E213" s="629">
        <v>3</v>
      </c>
      <c r="F213" s="630">
        <f t="shared" si="44"/>
        <v>9000</v>
      </c>
      <c r="G213" s="631"/>
      <c r="H213" s="632"/>
    </row>
    <row r="214" spans="1:15" x14ac:dyDescent="0.65">
      <c r="A214" s="628" t="s">
        <v>387</v>
      </c>
      <c r="B214" s="10">
        <v>1500</v>
      </c>
      <c r="C214" s="367"/>
      <c r="D214" s="10"/>
      <c r="E214" s="629">
        <v>4</v>
      </c>
      <c r="F214" s="630">
        <f t="shared" si="44"/>
        <v>6000</v>
      </c>
      <c r="G214" s="631"/>
      <c r="H214" s="632"/>
    </row>
    <row r="215" spans="1:15" x14ac:dyDescent="0.65">
      <c r="A215" s="628" t="s">
        <v>390</v>
      </c>
      <c r="B215" s="10">
        <v>2000</v>
      </c>
      <c r="C215" s="367"/>
      <c r="D215" s="10"/>
      <c r="E215" s="629">
        <v>1</v>
      </c>
      <c r="F215" s="630">
        <f t="shared" si="44"/>
        <v>2000</v>
      </c>
      <c r="G215" s="631"/>
      <c r="H215" s="632"/>
    </row>
    <row r="216" spans="1:15" x14ac:dyDescent="0.65">
      <c r="A216" s="11"/>
      <c r="B216" s="10"/>
      <c r="C216" s="367"/>
      <c r="D216" s="10"/>
      <c r="E216" s="322"/>
      <c r="G216" s="227"/>
      <c r="H216" s="306">
        <f t="shared" ref="H216" si="45">E216*B216</f>
        <v>0</v>
      </c>
    </row>
    <row r="217" spans="1:15" ht="63.75" customHeight="1" thickBot="1" x14ac:dyDescent="0.7">
      <c r="A217" s="18" t="s">
        <v>28</v>
      </c>
      <c r="B217" s="17" t="s">
        <v>29</v>
      </c>
      <c r="C217" s="366" t="s">
        <v>147</v>
      </c>
      <c r="D217" s="85" t="s">
        <v>148</v>
      </c>
      <c r="E217" s="327" t="s">
        <v>146</v>
      </c>
    </row>
    <row r="218" spans="1:15" ht="22.5" thickBot="1" x14ac:dyDescent="0.7">
      <c r="A218" s="52">
        <f>SUM(D219:D234)</f>
        <v>35500</v>
      </c>
      <c r="B218" s="21" t="s">
        <v>4</v>
      </c>
      <c r="C218" s="362" t="s">
        <v>5</v>
      </c>
      <c r="D218" s="86">
        <f>SUM(D219:D240)</f>
        <v>35500</v>
      </c>
      <c r="E218" s="352">
        <f>SUM(F218:F234)</f>
        <v>158500</v>
      </c>
      <c r="F218" s="655"/>
      <c r="G218" s="656"/>
      <c r="H218" s="656"/>
    </row>
    <row r="219" spans="1:15" ht="31" x14ac:dyDescent="0.65">
      <c r="A219" s="45" t="s">
        <v>77</v>
      </c>
      <c r="B219" s="46">
        <v>6000</v>
      </c>
      <c r="C219" s="397"/>
      <c r="D219" s="12">
        <f>B219*C219</f>
        <v>0</v>
      </c>
      <c r="E219" s="575">
        <v>6</v>
      </c>
      <c r="F219" s="434">
        <f>E219*B219</f>
        <v>36000</v>
      </c>
      <c r="G219" s="301"/>
      <c r="H219" s="63"/>
      <c r="J219" s="22" t="s">
        <v>71</v>
      </c>
      <c r="K219" s="23" t="s">
        <v>47</v>
      </c>
      <c r="L219" s="24" t="s">
        <v>48</v>
      </c>
      <c r="M219" s="24" t="s">
        <v>49</v>
      </c>
      <c r="N219" s="25" t="s">
        <v>50</v>
      </c>
      <c r="O219" s="26">
        <v>3000</v>
      </c>
    </row>
    <row r="220" spans="1:15" s="63" customFormat="1" ht="35.5" customHeight="1" thickBot="1" x14ac:dyDescent="0.4">
      <c r="A220" s="3" t="s">
        <v>338</v>
      </c>
      <c r="B220" s="46">
        <v>6000</v>
      </c>
      <c r="C220" s="398"/>
      <c r="D220" s="41">
        <f>B220*C220</f>
        <v>0</v>
      </c>
      <c r="E220" s="446">
        <v>8</v>
      </c>
      <c r="F220" s="306">
        <f>E220*B220</f>
        <v>48000</v>
      </c>
      <c r="G220" s="305"/>
      <c r="J220" s="195">
        <v>3</v>
      </c>
      <c r="K220" s="192">
        <v>4</v>
      </c>
      <c r="L220" s="118">
        <f>J220*K220*10</f>
        <v>120</v>
      </c>
      <c r="M220" s="119">
        <f>L220*1.6</f>
        <v>192</v>
      </c>
      <c r="N220" s="120">
        <f>M220/25</f>
        <v>7.68</v>
      </c>
      <c r="O220" s="193">
        <f>N220*O219</f>
        <v>23040</v>
      </c>
    </row>
    <row r="221" spans="1:15" x14ac:dyDescent="0.65">
      <c r="A221" s="492" t="s">
        <v>348</v>
      </c>
      <c r="B221" s="46">
        <v>6000</v>
      </c>
      <c r="C221" s="397"/>
      <c r="D221" s="10">
        <f t="shared" ref="D221:D234" si="46">B221*C221</f>
        <v>0</v>
      </c>
      <c r="E221" s="523">
        <v>5</v>
      </c>
      <c r="F221" s="489">
        <f>E221*B221</f>
        <v>30000</v>
      </c>
      <c r="G221" s="301"/>
      <c r="H221" s="306"/>
    </row>
    <row r="222" spans="1:15" x14ac:dyDescent="0.65">
      <c r="A222" s="185" t="s">
        <v>170</v>
      </c>
      <c r="B222" s="445">
        <v>2500</v>
      </c>
      <c r="C222" s="397">
        <v>5</v>
      </c>
      <c r="D222" s="10">
        <f>B222*C222</f>
        <v>12500</v>
      </c>
      <c r="E222" s="440">
        <f>C222</f>
        <v>5</v>
      </c>
      <c r="F222" s="434">
        <f>E222*B222</f>
        <v>12500</v>
      </c>
      <c r="G222" s="301"/>
    </row>
    <row r="223" spans="1:15" x14ac:dyDescent="0.65">
      <c r="A223" s="11" t="s">
        <v>79</v>
      </c>
      <c r="B223" s="10">
        <v>800</v>
      </c>
      <c r="C223" s="399"/>
      <c r="D223" s="10">
        <f t="shared" si="46"/>
        <v>0</v>
      </c>
      <c r="E223" s="329"/>
      <c r="F223" s="297"/>
      <c r="G223" s="301"/>
      <c r="H223" s="307"/>
    </row>
    <row r="224" spans="1:15" x14ac:dyDescent="0.65">
      <c r="B224" s="10">
        <v>1600</v>
      </c>
      <c r="C224" s="400"/>
      <c r="D224" s="10">
        <f t="shared" si="46"/>
        <v>0</v>
      </c>
      <c r="E224" s="354"/>
      <c r="F224" s="297"/>
      <c r="G224" s="301"/>
      <c r="H224" s="307"/>
    </row>
    <row r="225" spans="1:8" x14ac:dyDescent="0.65">
      <c r="A225" s="11" t="s">
        <v>138</v>
      </c>
      <c r="B225" s="10">
        <v>3000</v>
      </c>
      <c r="C225" s="397"/>
      <c r="D225" s="10">
        <f t="shared" si="46"/>
        <v>0</v>
      </c>
      <c r="E225" s="353"/>
      <c r="F225" s="297"/>
      <c r="G225" s="301"/>
      <c r="H225" s="307"/>
    </row>
    <row r="226" spans="1:8" x14ac:dyDescent="0.65">
      <c r="A226" s="554" t="s">
        <v>127</v>
      </c>
      <c r="B226" s="10">
        <v>3000</v>
      </c>
      <c r="C226" s="401">
        <v>1</v>
      </c>
      <c r="D226" s="10">
        <f t="shared" si="46"/>
        <v>3000</v>
      </c>
      <c r="E226" s="610">
        <f>C226</f>
        <v>1</v>
      </c>
      <c r="F226" s="608">
        <f>E226*B226</f>
        <v>3000</v>
      </c>
      <c r="G226" s="301"/>
      <c r="H226" s="611"/>
    </row>
    <row r="227" spans="1:8" x14ac:dyDescent="0.65">
      <c r="A227" s="11" t="s">
        <v>110</v>
      </c>
      <c r="B227" s="10">
        <v>5000</v>
      </c>
      <c r="C227" s="402">
        <v>1</v>
      </c>
      <c r="D227" s="10">
        <f t="shared" si="46"/>
        <v>5000</v>
      </c>
      <c r="E227" s="491">
        <v>1</v>
      </c>
      <c r="F227" s="489">
        <v>8000</v>
      </c>
      <c r="G227" s="301"/>
    </row>
    <row r="228" spans="1:8" x14ac:dyDescent="0.65">
      <c r="A228" s="11" t="s">
        <v>144</v>
      </c>
      <c r="B228" s="10">
        <v>800</v>
      </c>
      <c r="C228" s="355"/>
      <c r="D228" s="10">
        <f t="shared" si="46"/>
        <v>0</v>
      </c>
      <c r="E228" s="355">
        <f t="shared" ref="E228:E235" si="47">C228</f>
        <v>0</v>
      </c>
      <c r="F228" s="297"/>
      <c r="G228" s="301"/>
      <c r="H228" s="306">
        <f t="shared" ref="H228:H229" si="48">E228*B228</f>
        <v>0</v>
      </c>
    </row>
    <row r="229" spans="1:8" x14ac:dyDescent="0.65">
      <c r="A229" s="11" t="s">
        <v>139</v>
      </c>
      <c r="B229" s="10">
        <v>1400</v>
      </c>
      <c r="C229" s="403"/>
      <c r="D229" s="10">
        <f t="shared" si="46"/>
        <v>0</v>
      </c>
      <c r="E229" s="355">
        <f t="shared" si="47"/>
        <v>0</v>
      </c>
      <c r="F229" s="297"/>
      <c r="G229" s="301"/>
      <c r="H229" s="306">
        <f t="shared" si="48"/>
        <v>0</v>
      </c>
    </row>
    <row r="230" spans="1:8" x14ac:dyDescent="0.65">
      <c r="A230" s="80" t="s">
        <v>128</v>
      </c>
      <c r="B230" s="10">
        <v>600</v>
      </c>
      <c r="C230" s="404">
        <v>10</v>
      </c>
      <c r="D230" s="82">
        <f t="shared" si="46"/>
        <v>6000</v>
      </c>
      <c r="E230" s="356"/>
      <c r="F230" s="297"/>
      <c r="G230" s="301"/>
      <c r="H230" s="306"/>
    </row>
    <row r="231" spans="1:8" x14ac:dyDescent="0.65">
      <c r="A231" s="80" t="s">
        <v>129</v>
      </c>
      <c r="B231" s="445">
        <v>300</v>
      </c>
      <c r="C231" s="404">
        <v>30</v>
      </c>
      <c r="D231" s="82">
        <f t="shared" si="46"/>
        <v>9000</v>
      </c>
      <c r="E231" s="444">
        <f>20+50</f>
        <v>70</v>
      </c>
      <c r="F231" s="469">
        <f>E231*B231</f>
        <v>21000</v>
      </c>
      <c r="G231" s="301"/>
    </row>
    <row r="232" spans="1:8" x14ac:dyDescent="0.65">
      <c r="A232" s="81"/>
      <c r="B232" s="10"/>
      <c r="C232" s="364"/>
      <c r="D232" s="82">
        <f t="shared" si="46"/>
        <v>0</v>
      </c>
      <c r="E232" s="357">
        <f t="shared" si="47"/>
        <v>0</v>
      </c>
      <c r="F232" s="297"/>
      <c r="G232" s="301"/>
      <c r="H232" s="307"/>
    </row>
    <row r="233" spans="1:8" x14ac:dyDescent="0.65">
      <c r="A233" s="80" t="s">
        <v>135</v>
      </c>
      <c r="B233" s="10">
        <v>3000</v>
      </c>
      <c r="C233" s="405"/>
      <c r="D233" s="82">
        <f t="shared" si="46"/>
        <v>0</v>
      </c>
      <c r="E233" s="353">
        <f t="shared" si="47"/>
        <v>0</v>
      </c>
      <c r="F233" s="297"/>
      <c r="G233" s="301"/>
      <c r="H233" s="307"/>
    </row>
    <row r="234" spans="1:8" x14ac:dyDescent="0.65">
      <c r="A234" s="80" t="s">
        <v>136</v>
      </c>
      <c r="B234" s="10">
        <v>600</v>
      </c>
      <c r="C234" s="404"/>
      <c r="D234" s="82">
        <f t="shared" si="46"/>
        <v>0</v>
      </c>
      <c r="E234" s="356">
        <f t="shared" si="47"/>
        <v>0</v>
      </c>
      <c r="F234" s="297"/>
      <c r="G234" s="301"/>
      <c r="H234" s="307"/>
    </row>
    <row r="235" spans="1:8" x14ac:dyDescent="0.65">
      <c r="B235" s="83"/>
      <c r="C235" s="406"/>
      <c r="E235" s="358">
        <f t="shared" si="47"/>
        <v>0</v>
      </c>
      <c r="F235" s="297"/>
      <c r="G235" s="311"/>
      <c r="H235" s="310"/>
    </row>
  </sheetData>
  <mergeCells count="21">
    <mergeCell ref="B1:D1"/>
    <mergeCell ref="F218:H218"/>
    <mergeCell ref="F205:H205"/>
    <mergeCell ref="F32:H32"/>
    <mergeCell ref="F108:H108"/>
    <mergeCell ref="F98:H98"/>
    <mergeCell ref="F188:H188"/>
    <mergeCell ref="A5:F5"/>
    <mergeCell ref="B6:D6"/>
    <mergeCell ref="F8:H8"/>
    <mergeCell ref="A4:E4"/>
    <mergeCell ref="F170:H170"/>
    <mergeCell ref="F70:H70"/>
    <mergeCell ref="F49:H49"/>
    <mergeCell ref="J108:L108"/>
    <mergeCell ref="F163:H163"/>
    <mergeCell ref="F14:H14"/>
    <mergeCell ref="H7:J7"/>
    <mergeCell ref="F127:H127"/>
    <mergeCell ref="F88:H88"/>
    <mergeCell ref="F145:H145"/>
  </mergeCells>
  <hyperlinks>
    <hyperlink ref="B6" r:id="rId1" xr:uid="{00000000-0004-0000-0200-000000000000}"/>
  </hyperlinks>
  <pageMargins left="0.70866141732283472" right="0.70866141732283472" top="0.33" bottom="0.2" header="0.24" footer="0.19685039370078741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Róbert AuraColor</dc:creator>
  <cp:lastModifiedBy>Tóth Róbert AuraColor</cp:lastModifiedBy>
  <cp:lastPrinted>2019-08-29T09:45:58Z</cp:lastPrinted>
  <dcterms:created xsi:type="dcterms:W3CDTF">2013-09-06T04:46:12Z</dcterms:created>
  <dcterms:modified xsi:type="dcterms:W3CDTF">2023-12-05T20:58:39Z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